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611" firstSheet="1" activeTab="1"/>
  </bookViews>
  <sheets>
    <sheet name="השוואת תקציבים 2015-2017 (2)" sheetId="1" state="hidden" r:id="rId1"/>
    <sheet name="תקציב 2018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'השוואת תקציבים 2015-2017 (2)'!$A$1:$O$258</definedName>
    <definedName name="_xlnm._FilterDatabase" localSheetId="1" hidden="1">'תקציב 2018'!$A$1:$F$246</definedName>
    <definedName name="_xlnm.Print_Area" localSheetId="0">'השוואת תקציבים 2015-2017 (2)'!$B$1:$R$265</definedName>
    <definedName name="_xlnm.Print_Area" localSheetId="1">'תקציב 2018'!$A$1:$F$251</definedName>
    <definedName name="_xlnm.Print_Titles" localSheetId="0">'השוואת תקציבים 2015-2017 (2)'!$1:$1</definedName>
    <definedName name="_xlnm.Print_Titles" localSheetId="1">'תקציב 2018'!$1:$1</definedName>
  </definedNames>
  <calcPr fullCalcOnLoad="1"/>
</workbook>
</file>

<file path=xl/comments1.xml><?xml version="1.0" encoding="utf-8"?>
<comments xmlns="http://schemas.openxmlformats.org/spreadsheetml/2006/main">
  <authors>
    <author>Gizbar</author>
  </authors>
  <commentList>
    <comment ref="M22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על פי התעריף האחרון שפורסם ובהתאם לצריכות המיים בפועל</t>
        </r>
      </text>
    </comment>
    <comment ref="M44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כולל סייעות 240,000 ש"ח</t>
        </r>
      </text>
    </comment>
    <comment ref="M119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להכניס בדיקת עופר גורדון לבניית אתר חדש</t>
        </r>
      </text>
    </comment>
    <comment ref="M136" authorId="0">
      <text>
        <r>
          <rPr>
            <b/>
            <sz val="9"/>
            <rFont val="Tahoma"/>
            <family val="2"/>
          </rPr>
          <t>Gizbar:בוטל על ידי המרכז לשלטון מקומי</t>
        </r>
      </text>
    </comment>
    <comment ref="M196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רק כדור רגל. צהרון נגבה בבית הספר</t>
        </r>
      </text>
    </comment>
    <comment ref="M211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לפי 60% משכר בכירים .
ו50% משרה.
תקצוב מאוגוסט 2018.
50,000 ש"ח</t>
        </r>
      </text>
    </comment>
    <comment ref="K220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179*4200+100000+137000+72*201*0.3*12=1040899</t>
        </r>
      </text>
    </comment>
    <comment ref="M220" authorId="0">
      <text>
        <r>
          <rPr>
            <b/>
            <sz val="9"/>
            <rFont val="Tahoma"/>
            <family val="2"/>
          </rPr>
          <t>Gizbar:</t>
        </r>
        <r>
          <rPr>
            <sz val="9"/>
            <rFont val="Tahoma"/>
            <family val="2"/>
          </rPr>
          <t xml:space="preserve">
סייעות 103,000
סל תלמיד 697,000
תומך טכני 150,000
הפסד עבר 100,000</t>
        </r>
      </text>
    </comment>
  </commentList>
</comments>
</file>

<file path=xl/comments2.xml><?xml version="1.0" encoding="utf-8"?>
<comments xmlns="http://schemas.openxmlformats.org/spreadsheetml/2006/main">
  <authors>
    <author>Gizbar</author>
  </authors>
  <commentList>
    <comment ref="D127" authorId="0">
      <text>
        <r>
          <rPr>
            <b/>
            <sz val="9"/>
            <rFont val="Tahoma"/>
            <family val="2"/>
          </rPr>
          <t>Gizbar:בוטל על ידי המרכז לשלטון מקומי</t>
        </r>
      </text>
    </comment>
  </commentList>
</comments>
</file>

<file path=xl/sharedStrings.xml><?xml version="1.0" encoding="utf-8"?>
<sst xmlns="http://schemas.openxmlformats.org/spreadsheetml/2006/main" count="1174" uniqueCount="300">
  <si>
    <t>קבוצה</t>
  </si>
  <si>
    <t>שם קבוצה</t>
  </si>
  <si>
    <t>סעיף</t>
  </si>
  <si>
    <t>שם סעיף</t>
  </si>
  <si>
    <t>כרטיס</t>
  </si>
  <si>
    <t>שם כרטיס</t>
  </si>
  <si>
    <t>תקציב_2015</t>
  </si>
  <si>
    <t>בצוע_2015</t>
  </si>
  <si>
    <t>תקציב_2016</t>
  </si>
  <si>
    <t>בצוע_2016</t>
  </si>
  <si>
    <t>תקציב_2017</t>
  </si>
  <si>
    <t/>
  </si>
  <si>
    <t>הכנסות שנים קודמות</t>
  </si>
  <si>
    <t>תקבולים שנים קודמות</t>
  </si>
  <si>
    <t>הכנסות</t>
  </si>
  <si>
    <t>עצמיות</t>
  </si>
  <si>
    <t>ארנונה למגורים</t>
  </si>
  <si>
    <t>הכנסות ארנונה מראש</t>
  </si>
  <si>
    <t>עיקולי בנקים</t>
  </si>
  <si>
    <t>ארנונה לעסקים וקרקע תפוסה</t>
  </si>
  <si>
    <t>הנחות ארנונה</t>
  </si>
  <si>
    <t>השכרת גני ילדים</t>
  </si>
  <si>
    <t>השתת'בסייעות</t>
  </si>
  <si>
    <t>הסעות תלמידים</t>
  </si>
  <si>
    <t>השתתפות תושבים מועדון +</t>
  </si>
  <si>
    <t>דמי השתתפות במכרז</t>
  </si>
  <si>
    <t>אגרת פינוי אשפה</t>
  </si>
  <si>
    <t>אגרת רישיון כלבים</t>
  </si>
  <si>
    <t>אגרת שיחרור כלבים</t>
  </si>
  <si>
    <t>אגרת טיפול במזיקים</t>
  </si>
  <si>
    <t>אגרת ביוב מתושבים</t>
  </si>
  <si>
    <t>אגרת שילוט</t>
  </si>
  <si>
    <t>אגרות שונות</t>
  </si>
  <si>
    <t>אגרות שמירה</t>
  </si>
  <si>
    <t>אגרת רשיון בניה</t>
  </si>
  <si>
    <t>הכנסות משכירות</t>
  </si>
  <si>
    <t>הכנסות שונות</t>
  </si>
  <si>
    <t>גיזום וניקוי חצרות</t>
  </si>
  <si>
    <t>השתת. תושבים בספריה</t>
  </si>
  <si>
    <t>צהרון וייל</t>
  </si>
  <si>
    <t>חוגים מרכז וייל</t>
  </si>
  <si>
    <t>הופעות באודיטוריום</t>
  </si>
  <si>
    <t>איזיפארק</t>
  </si>
  <si>
    <t>סלופארק</t>
  </si>
  <si>
    <t>פנגו</t>
  </si>
  <si>
    <t>קנסות חניה</t>
  </si>
  <si>
    <t>רישוי עסקים-קנסות בית משפט</t>
  </si>
  <si>
    <t>העב'יתרות ש.קודמות</t>
  </si>
  <si>
    <t>העברה מקרן פיתוח עבור מחלקת הנדסה</t>
  </si>
  <si>
    <t>תקבולים ממשרד החינוך</t>
  </si>
  <si>
    <t>השתת.מ.החינוך גנ"י</t>
  </si>
  <si>
    <t>השתת.מ.החינוך ב'יס</t>
  </si>
  <si>
    <t>קבטי"ם השתת'מ.החינוך</t>
  </si>
  <si>
    <t>השתת' מש.חינוך-פסיכולוגי</t>
  </si>
  <si>
    <t>השתת' מש.חינוך-הסעות</t>
  </si>
  <si>
    <t>השתת' משרד התרבות והספורט</t>
  </si>
  <si>
    <t>תקבולים ממשרד הרווחה</t>
  </si>
  <si>
    <t>השתת' מ.הרווחה</t>
  </si>
  <si>
    <t>תקבולים ממשלתיים אחרים</t>
  </si>
  <si>
    <t>השתתפפות משטרה בשמירה</t>
  </si>
  <si>
    <t>השתת.  משרד הפנים</t>
  </si>
  <si>
    <t>סימון דרכים-השתת מ.תחבורה</t>
  </si>
  <si>
    <t>השתתפות הרשות לבטיחות בדרכים</t>
  </si>
  <si>
    <t>תקבולים אחרים</t>
  </si>
  <si>
    <t>ריבית</t>
  </si>
  <si>
    <t>ריבית מהלוואות עובדים</t>
  </si>
  <si>
    <t>הכנסות מותנות</t>
  </si>
  <si>
    <t>הכנסה מותנית ארנונה</t>
  </si>
  <si>
    <t>הוצאות</t>
  </si>
  <si>
    <t>כלליות</t>
  </si>
  <si>
    <t>שכר ראש הרשות</t>
  </si>
  <si>
    <t>מבקר פנים</t>
  </si>
  <si>
    <t>מזכירה ראשית</t>
  </si>
  <si>
    <t>קשרי קהילה-שכר</t>
  </si>
  <si>
    <t>גזבר ומזכיר</t>
  </si>
  <si>
    <t>מזכירת גזבר</t>
  </si>
  <si>
    <t>החזר שכר-יעל לוי</t>
  </si>
  <si>
    <t>שכר עובדת ניקיון</t>
  </si>
  <si>
    <t>שכר-עובד וטרינרי</t>
  </si>
  <si>
    <t>משמר הכפר</t>
  </si>
  <si>
    <t xml:space="preserve"> קב'ט</t>
  </si>
  <si>
    <t>עוזר קב"ט</t>
  </si>
  <si>
    <t xml:space="preserve"> מהנדס הרשות</t>
  </si>
  <si>
    <t>פקח כבישים</t>
  </si>
  <si>
    <t>מזכירה מח'הנדסה</t>
  </si>
  <si>
    <t xml:space="preserve"> מזכירות-כללית</t>
  </si>
  <si>
    <t>שכר הנדסאית</t>
  </si>
  <si>
    <t>שכר-תקשוב מחשוב וטכנולוגיות-יוספה</t>
  </si>
  <si>
    <t>שכר סגן מהנדס</t>
  </si>
  <si>
    <t>שכר מפקחים על עבודות קבלניות</t>
  </si>
  <si>
    <t>מנהל אחזקה-שכר</t>
  </si>
  <si>
    <t>שכר עובדי אחזקה</t>
  </si>
  <si>
    <t>שמירת הסביבה-שכר</t>
  </si>
  <si>
    <t>מנהל מחלקת רישוי עסקים ופיתוח</t>
  </si>
  <si>
    <t>פקחים שכר</t>
  </si>
  <si>
    <t>שכר עוזרים בספריה</t>
  </si>
  <si>
    <t xml:space="preserve"> רכזת תרבות</t>
  </si>
  <si>
    <t>שכר חוגים ומדריכים</t>
  </si>
  <si>
    <t>שכר-מנצח המקהלה</t>
  </si>
  <si>
    <t>מנהלת בית וייל</t>
  </si>
  <si>
    <t>מנהל אחזקה -וייל</t>
  </si>
  <si>
    <t xml:space="preserve"> רכזת חוגים</t>
  </si>
  <si>
    <t>פנסיונרים ברשות</t>
  </si>
  <si>
    <t>השתת'גמלאים-אוצר</t>
  </si>
  <si>
    <t>יעוץ מערכות מידע</t>
  </si>
  <si>
    <t>מים-כח-חמרי ניקוי</t>
  </si>
  <si>
    <t>אחזקת מכונות משרד</t>
  </si>
  <si>
    <t>רכישת ציוד יסודי ואחזקתו</t>
  </si>
  <si>
    <t>כיבוד</t>
  </si>
  <si>
    <t>השתלמויות עובדים</t>
  </si>
  <si>
    <t>רשומות ועיתונות</t>
  </si>
  <si>
    <t>משלוחים ונסיעות</t>
  </si>
  <si>
    <t>טלפון ודאר</t>
  </si>
  <si>
    <t>שירותי מיחשוב</t>
  </si>
  <si>
    <t>משרדיות והדפסות</t>
  </si>
  <si>
    <t>מנגנון הוצאות שונות</t>
  </si>
  <si>
    <t>אחזקת אתר אינטנרט</t>
  </si>
  <si>
    <t>יעוץ קשרי קהילה</t>
  </si>
  <si>
    <t>עלונים והסברה</t>
  </si>
  <si>
    <t>עיתון מקומי</t>
  </si>
  <si>
    <t>יעוץ משרדים חיצוניים</t>
  </si>
  <si>
    <t>יעוץ משפטי שוטף</t>
  </si>
  <si>
    <t>ליסינג גזבר-מזכיר</t>
  </si>
  <si>
    <t>רכש</t>
  </si>
  <si>
    <t>יועץ השקעות</t>
  </si>
  <si>
    <t>שרותים - הנה'ח</t>
  </si>
  <si>
    <t>מערכת גביה</t>
  </si>
  <si>
    <t>קבלן אשפה וגזם</t>
  </si>
  <si>
    <t>לכדידת כלבים חתולים עב' קבלנית</t>
  </si>
  <si>
    <t>הד' מזיקים-עב.קבלנית</t>
  </si>
  <si>
    <t>שמירה-קבלן אבטחה</t>
  </si>
  <si>
    <t>פיקוד העורף</t>
  </si>
  <si>
    <t>כבאות-איגוד ערים</t>
  </si>
  <si>
    <t>ליסינג-קב"ט</t>
  </si>
  <si>
    <t>יחידת חילוץ</t>
  </si>
  <si>
    <t>תקשורת-הנדסה</t>
  </si>
  <si>
    <t>מיחשוב ושירות תוכנה</t>
  </si>
  <si>
    <t>תכנון-עבודה קבלנית</t>
  </si>
  <si>
    <t>ליסינג מחלקת הנדסה</t>
  </si>
  <si>
    <t>סקר מדידות נכסים</t>
  </si>
  <si>
    <t>שמאות מקרקעין</t>
  </si>
  <si>
    <t>רכישת רכב -מהנדס</t>
  </si>
  <si>
    <t>יעוץ מחשוב ותקשורת</t>
  </si>
  <si>
    <t>ליסינג -יוספה</t>
  </si>
  <si>
    <t>אחזקת ביוב</t>
  </si>
  <si>
    <t>עבודות עפר</t>
  </si>
  <si>
    <t>הוצ'שונות הנדסה</t>
  </si>
  <si>
    <t>שרותי מ.גביה,ה.השבחה</t>
  </si>
  <si>
    <t>תשלום לוועדה מרחבית</t>
  </si>
  <si>
    <t>משפטיות הנדסה</t>
  </si>
  <si>
    <t>עבודות קבלנים-תחזוקת כבישים</t>
  </si>
  <si>
    <t>עבודה קבלנית</t>
  </si>
  <si>
    <t>הכנת תוכנית אב</t>
  </si>
  <si>
    <t>השתלמויות עובדים-הנדסה</t>
  </si>
  <si>
    <t>מיזוג ,מעליות,מטפים,מ.גילוי</t>
  </si>
  <si>
    <t>תאורת רחובות ע.קבלנית</t>
  </si>
  <si>
    <t>יחידה סביבתי</t>
  </si>
  <si>
    <t>אחזקת כלי רכב וביטוח</t>
  </si>
  <si>
    <t>אחזקה כללית ,הנדסה</t>
  </si>
  <si>
    <t>אחזקת כלים</t>
  </si>
  <si>
    <t>צריכת מים</t>
  </si>
  <si>
    <t>מיזוג,מעליות,מערכות</t>
  </si>
  <si>
    <t>מיחזור נייר ובקבוקים</t>
  </si>
  <si>
    <t>איגוד ערים לניקוז</t>
  </si>
  <si>
    <t>קבלן גינון</t>
  </si>
  <si>
    <t>משתלה</t>
  </si>
  <si>
    <t>ביטוחים</t>
  </si>
  <si>
    <t>מילגם-עבודה קבלנית</t>
  </si>
  <si>
    <t>מחשוב-החברה לאוטומציה</t>
  </si>
  <si>
    <t>כביסה וגיהוץ-קלירנס</t>
  </si>
  <si>
    <t>יונידרס</t>
  </si>
  <si>
    <t>הוצאות שוטפות</t>
  </si>
  <si>
    <t>חגיגות וטכסים</t>
  </si>
  <si>
    <t>ספרים לספריה</t>
  </si>
  <si>
    <t>ספריה-שונות</t>
  </si>
  <si>
    <t>חשמל ותאורה</t>
  </si>
  <si>
    <t>ציוד לחוגים</t>
  </si>
  <si>
    <t>מדריכי חוגים</t>
  </si>
  <si>
    <t>מרכז למידה וייל-הוצ'הפעלה</t>
  </si>
  <si>
    <t>מרכז למידה וייל-עב'קבלניות</t>
  </si>
  <si>
    <t>בית ראשונים-הפעלה</t>
  </si>
  <si>
    <t>נקיון וייל</t>
  </si>
  <si>
    <t>אחזקה - וייל</t>
  </si>
  <si>
    <t>גופים ייצוגיים</t>
  </si>
  <si>
    <t>הוצאות הפעלה-בית וייל</t>
  </si>
  <si>
    <t>ליסינג מחלקת תרבות-פנינה</t>
  </si>
  <si>
    <t>הוצאות שיווק בית וייל</t>
  </si>
  <si>
    <t>רכישת מופעים לאודיטוריום</t>
  </si>
  <si>
    <t>מדריך נוער דרך רשפון</t>
  </si>
  <si>
    <t>תנועות נוער-אחזקה</t>
  </si>
  <si>
    <t>תמיכה בתנועות נוער</t>
  </si>
  <si>
    <t>השתת' למד'א-נט'ן</t>
  </si>
  <si>
    <t>השתתפות במועצה דתית</t>
  </si>
  <si>
    <t>הוצאות עודפות</t>
  </si>
  <si>
    <t>חינוך</t>
  </si>
  <si>
    <t xml:space="preserve"> סייעות לגננות</t>
  </si>
  <si>
    <t xml:space="preserve"> קב'ט בית ספר</t>
  </si>
  <si>
    <t>שכר שפ"ח</t>
  </si>
  <si>
    <t>גננות עובדות מדינה</t>
  </si>
  <si>
    <t>השתת'תקציב אשכול גנים</t>
  </si>
  <si>
    <t>העברת מ.החינוך בגני ילדים</t>
  </si>
  <si>
    <t>השתת' סייעות גני ילדים</t>
  </si>
  <si>
    <t>השתת'סייעות גנ"י -מ.החינוך</t>
  </si>
  <si>
    <t>תקציב ב'יס יסודי משותף</t>
  </si>
  <si>
    <t>השתתפות משרד החינוך בי'ס יסודי</t>
  </si>
  <si>
    <t>השתת'סייעות לבי"ס-מ.החינוך</t>
  </si>
  <si>
    <t>השתתפות מועצה סייעות ביה"ס</t>
  </si>
  <si>
    <t>השתת'מ.בטחון פנים(משטרה)</t>
  </si>
  <si>
    <t>שכר לימוד - תלמידי חוץ</t>
  </si>
  <si>
    <t>שפ'ח הוצאות שונות</t>
  </si>
  <si>
    <t>הסעת תלמידים</t>
  </si>
  <si>
    <t>החזר נסיעות תלמידים</t>
  </si>
  <si>
    <t>פעולות ספורט</t>
  </si>
  <si>
    <t>רווחה</t>
  </si>
  <si>
    <t>שכר-מנהלת השירות הסוציאלי</t>
  </si>
  <si>
    <t>עו"ס נוער-שכר</t>
  </si>
  <si>
    <t>רכזת מועדון+</t>
  </si>
  <si>
    <t>משרד הרווחה</t>
  </si>
  <si>
    <t>הוצאות שונות-רווחה</t>
  </si>
  <si>
    <t>מלחמה בסמים ואלימות</t>
  </si>
  <si>
    <t>הוצאות רווחה שלא עובר במשרד הרווחה</t>
  </si>
  <si>
    <t>מועדון +</t>
  </si>
  <si>
    <t>הוצאות מימון</t>
  </si>
  <si>
    <t>הוצאות בנקאיות</t>
  </si>
  <si>
    <t>עמלת כרטיסי אשראי</t>
  </si>
  <si>
    <t>העברות והוצאות חד פעמיות</t>
  </si>
  <si>
    <t>הוצאות שנים קודמות</t>
  </si>
  <si>
    <t>הנחות ארנונה (הוצאות)</t>
  </si>
  <si>
    <t>הנחות בארנונה</t>
  </si>
  <si>
    <t>הנחות לתשלום מראש</t>
  </si>
  <si>
    <t>הוצאות מותנות</t>
  </si>
  <si>
    <t>הוצאה מותנית</t>
  </si>
  <si>
    <t>רזרבה כללית</t>
  </si>
  <si>
    <t>הכנסות סה"כ</t>
  </si>
  <si>
    <t>הוצאות סה"כ</t>
  </si>
  <si>
    <t>סכום כולל</t>
  </si>
  <si>
    <t>עצמיות סה"כ</t>
  </si>
  <si>
    <t>תקבולים ממשרד החינוך סה"כ</t>
  </si>
  <si>
    <t>תקבולים ממשרד הרווחה סה"כ</t>
  </si>
  <si>
    <t>תקבולים ממשלתיים אחרים סה"כ</t>
  </si>
  <si>
    <t>תקבולים אחרים סה"כ</t>
  </si>
  <si>
    <t>הכנסות מותנות סה"כ</t>
  </si>
  <si>
    <t>כלליות סה"כ</t>
  </si>
  <si>
    <t>חינוך סה"כ</t>
  </si>
  <si>
    <t>רווחה סה"כ</t>
  </si>
  <si>
    <t>הוצאות מימון סה"כ</t>
  </si>
  <si>
    <t>העברות והוצאות חד פעמיות סה"כ</t>
  </si>
  <si>
    <t>הנחות ארנונה (הוצאות) סה"כ</t>
  </si>
  <si>
    <t>הוצאות מותנות סה"כ</t>
  </si>
  <si>
    <t>בצוע_2017 עד 31 ביולי</t>
  </si>
  <si>
    <t>תקציב_2018</t>
  </si>
  <si>
    <t>בחירות</t>
  </si>
  <si>
    <t>חדש</t>
  </si>
  <si>
    <t>מנהל מחלקת חינוך</t>
  </si>
  <si>
    <t>תקציב נוסף בית הספר חוגים וייל</t>
  </si>
  <si>
    <t>100 ילדים * 4200 ₪ (במקום 1500) + 10,500 רעננה + 16,000 הרצליה חינוך מיוחד +25,000 הרצליה חינוך רגיל + 8000 בית של תמר.</t>
  </si>
  <si>
    <t>170 ילדים * 4200 ₪ + 138,000 תומך טכני + 100,000 השתתפות בגירעון + השתתפות בסייעות 72**201*30%*12</t>
  </si>
  <si>
    <t>מילגם-עבודה קבלנית אחזקה</t>
  </si>
  <si>
    <t xml:space="preserve">2,750 ₪ לתלמיד לשנה * 100 תלמידים </t>
  </si>
  <si>
    <t>כולל 3500 הדרכות מתוקצבות</t>
  </si>
  <si>
    <t>פקח בניה</t>
  </si>
  <si>
    <t>פיראס</t>
  </si>
  <si>
    <t>להוסיף אנליטי לGIS</t>
  </si>
  <si>
    <t>סקר מדידות נכסים להפקעות ורישום.</t>
  </si>
  <si>
    <t>2 קטנועים למפקחי בניה</t>
  </si>
  <si>
    <t>תכנון וביצוע תשתיות לאומיות</t>
  </si>
  <si>
    <t>זיכל וכץ</t>
  </si>
  <si>
    <t>אחזקה כללית-</t>
  </si>
  <si>
    <t>לסגור</t>
  </si>
  <si>
    <t>ניקיון רחובות</t>
  </si>
  <si>
    <t>חשבונות חברת חשמל</t>
  </si>
  <si>
    <t>קבלן חשמל</t>
  </si>
  <si>
    <t>לאחד עם אחזקה כללית</t>
  </si>
  <si>
    <t>כולל רכישת רכב אחזקה</t>
  </si>
  <si>
    <t>להוסיף שעות כוננות.</t>
  </si>
  <si>
    <t>הסכמי שכר.</t>
  </si>
  <si>
    <t>מיון נכון</t>
  </si>
  <si>
    <t>העלאה ל85%</t>
  </si>
  <si>
    <t>הסכמי שכר</t>
  </si>
  <si>
    <t>תקצוב הגדרת מנהל אגף</t>
  </si>
  <si>
    <t>מכירת 2 רכבים</t>
  </si>
  <si>
    <t>תקציב סיון</t>
  </si>
  <si>
    <t>3600*12+1675*12+5000</t>
  </si>
  <si>
    <t>3750*12+2200*12+2600=</t>
  </si>
  <si>
    <t>275 מועצה 65 משרד הספורט</t>
  </si>
  <si>
    <t>חוף השרון 2750 ₪ לילד לשנה + 150000 חינוך מיוחד</t>
  </si>
  <si>
    <t xml:space="preserve">חינוך חרדים  </t>
  </si>
  <si>
    <t>תוספת גחלת חד פעמי 2500 ₪ וחודשי 200</t>
  </si>
  <si>
    <t>חדש - שכר</t>
  </si>
  <si>
    <t>מוקדן מצלמות</t>
  </si>
  <si>
    <t>כולל תוספת 50K מבנים מסוכנים</t>
  </si>
  <si>
    <t>160 פאדי 140 פקח בניה</t>
  </si>
  <si>
    <t>גידול / קיטון בתקציב</t>
  </si>
  <si>
    <t>כולל 2 סייעות חנ"ג 118,000 ₪</t>
  </si>
  <si>
    <t>במקומו מוקדן</t>
  </si>
  <si>
    <t>פעילות בטיחות בדרכים</t>
  </si>
  <si>
    <t>לשנות את השם</t>
  </si>
  <si>
    <t>שעת חירום</t>
  </si>
  <si>
    <t>גבייה חוג כדוררגל</t>
  </si>
  <si>
    <t>תמיכה במוסדות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</si>
</sst>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₪&quot;\ #,##0.00;&quot;₪&quot;\-#,##0.00"/>
    <numFmt numFmtId="174" formatCode="_ * #,##0_ ;_ * \-#,##0_ ;_ * &quot;-&quot;??_ ;_ @_ 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#,##0.0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169" fontId="1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1" fillId="34" borderId="0" xfId="0" applyFont="1" applyFill="1" applyBorder="1" applyAlignment="1">
      <alignment horizontal="right" wrapText="1"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wrapText="1"/>
    </xf>
    <xf numFmtId="3" fontId="1" fillId="34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center"/>
    </xf>
    <xf numFmtId="3" fontId="1" fillId="34" borderId="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ont="1" applyAlignment="1">
      <alignment wrapText="1" readingOrder="2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right" wrapText="1"/>
    </xf>
    <xf numFmtId="0" fontId="0" fillId="0" borderId="0" xfId="0" applyFont="1" applyAlignment="1">
      <alignment horizontal="right" readingOrder="2"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right" wrapText="1"/>
    </xf>
    <xf numFmtId="0" fontId="0" fillId="0" borderId="0" xfId="0" applyAlignment="1">
      <alignment readingOrder="2"/>
    </xf>
    <xf numFmtId="0" fontId="0" fillId="0" borderId="0" xfId="0" applyFont="1" applyAlignment="1">
      <alignment/>
    </xf>
    <xf numFmtId="3" fontId="1" fillId="19" borderId="10" xfId="0" applyNumberFormat="1" applyFont="1" applyFill="1" applyBorder="1" applyAlignment="1">
      <alignment horizontal="center" wrapText="1"/>
    </xf>
    <xf numFmtId="3" fontId="0" fillId="19" borderId="0" xfId="0" applyNumberFormat="1" applyFill="1" applyAlignment="1">
      <alignment horizontal="center"/>
    </xf>
    <xf numFmtId="0" fontId="0" fillId="0" borderId="0" xfId="0" applyAlignment="1" quotePrefix="1">
      <alignment horizontal="right"/>
    </xf>
    <xf numFmtId="3" fontId="1" fillId="35" borderId="1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wrapText="1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right"/>
    </xf>
    <xf numFmtId="176" fontId="0" fillId="0" borderId="0" xfId="33" applyNumberFormat="1" applyFont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36" borderId="10" xfId="0" applyNumberFormat="1" applyFont="1" applyFill="1" applyBorder="1" applyAlignment="1">
      <alignment horizontal="center" wrapText="1"/>
    </xf>
    <xf numFmtId="3" fontId="1" fillId="36" borderId="10" xfId="0" applyNumberFormat="1" applyFont="1" applyFill="1" applyBorder="1" applyAlignment="1">
      <alignment horizontal="center" wrapText="1"/>
    </xf>
    <xf numFmtId="176" fontId="0" fillId="0" borderId="0" xfId="0" applyNumberFormat="1" applyBorder="1" applyAlignment="1">
      <alignment/>
    </xf>
    <xf numFmtId="0" fontId="1" fillId="0" borderId="13" xfId="0" applyFont="1" applyFill="1" applyBorder="1" applyAlignment="1">
      <alignment wrapText="1"/>
    </xf>
    <xf numFmtId="3" fontId="1" fillId="0" borderId="1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88;&#1495;&#1494;&#1511;&#1492;\&#1488;&#1495;&#1494;&#1511;&#1492;%20&#1505;&#1493;&#1508;&#1497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489;&#1497;&#1496;&#1495;&#1493;&#1503;\&#1506;&#1493;&#1514;&#1511;%20&#1513;&#1500;%20&#1506;&#1493;&#1514;&#1511;%20&#1513;&#1500;%20&#1497;&#1490;&#1488;&#1500;%20&#1514;&#1511;&#1510;&#1497;&#1489;%202018%20&#1502;&#1506;&#1493;&#1491;&#1499;&#150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512;&#1499;&#1513;%20&#1493;&#1502;&#1495;&#1513;&#1493;&#1489;\&#1506;&#1493;&#1514;&#1511;%20&#1513;&#1500;%20&#1499;&#1508;&#1512;%20&#1513;&#1502;&#1512;&#1497;&#1492;&#1493;%20&#1492;&#1510;&#1506;&#1514;%20&#1514;&#1511;&#1510;&#1497;&#1489;%20&#1512;&#1499;&#1513;%20&#1493;&#1514;&#1511;&#1513;&#1493;&#148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אספקת מים"/>
      <sheetName val="מערכ' ביוב"/>
      <sheetName val="ניקוז"/>
      <sheetName val="איכות הסביבה"/>
      <sheetName val="נראות הכפר"/>
      <sheetName val="בטיחות בדרכים"/>
      <sheetName val="חשמל מבנים תאורת רחובות"/>
      <sheetName val="מחזור"/>
      <sheetName val="תיחזוק מיטבי"/>
      <sheetName val="סיוע למחלקות"/>
      <sheetName val="פרוייקטים"/>
      <sheetName val="צי רכב"/>
      <sheetName val="עובדים ושכר"/>
      <sheetName val="אינטרנט"/>
      <sheetName val="סיכומים"/>
      <sheetName val="גיליון2"/>
    </sheetNames>
    <sheetDataSet>
      <sheetData sheetId="14">
        <row r="6">
          <cell r="E6">
            <v>364500</v>
          </cell>
        </row>
        <row r="7">
          <cell r="E7">
            <v>210000</v>
          </cell>
        </row>
        <row r="8">
          <cell r="F8">
            <v>185000</v>
          </cell>
        </row>
        <row r="9">
          <cell r="E9">
            <v>769500</v>
          </cell>
        </row>
        <row r="10">
          <cell r="E10">
            <v>0</v>
          </cell>
        </row>
        <row r="13">
          <cell r="E13">
            <v>60000</v>
          </cell>
        </row>
        <row r="14">
          <cell r="E14">
            <v>12000</v>
          </cell>
        </row>
        <row r="15">
          <cell r="E15">
            <v>65000</v>
          </cell>
        </row>
        <row r="16">
          <cell r="E16">
            <v>2010000</v>
          </cell>
        </row>
        <row r="18">
          <cell r="E18">
            <v>2362000</v>
          </cell>
        </row>
        <row r="19">
          <cell r="E19">
            <v>131000</v>
          </cell>
        </row>
        <row r="21">
          <cell r="E21">
            <v>0</v>
          </cell>
        </row>
        <row r="33">
          <cell r="E33">
            <v>161000</v>
          </cell>
        </row>
        <row r="34">
          <cell r="E34">
            <v>85000</v>
          </cell>
        </row>
        <row r="35">
          <cell r="F35">
            <v>435000</v>
          </cell>
        </row>
        <row r="36">
          <cell r="E36">
            <v>310000</v>
          </cell>
        </row>
        <row r="47">
          <cell r="E47">
            <v>90000</v>
          </cell>
        </row>
        <row r="48">
          <cell r="E48">
            <v>19000</v>
          </cell>
        </row>
        <row r="49">
          <cell r="E49">
            <v>29500</v>
          </cell>
        </row>
        <row r="50">
          <cell r="E50">
            <v>0</v>
          </cell>
        </row>
        <row r="54">
          <cell r="E54">
            <v>80000</v>
          </cell>
        </row>
        <row r="55">
          <cell r="E55">
            <v>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שמירה -קבלן אבטחה"/>
      <sheetName val="משמר הכפר"/>
      <sheetName val="שעת חרום"/>
      <sheetName val="יחידת חילוץ"/>
      <sheetName val="שכר"/>
      <sheetName val="בטיחות בדרכים"/>
      <sheetName val="סה&quot;כ"/>
    </sheetNames>
    <sheetDataSet>
      <sheetData sheetId="6">
        <row r="3">
          <cell r="B3">
            <v>1170000</v>
          </cell>
        </row>
        <row r="4">
          <cell r="B4">
            <v>125000</v>
          </cell>
        </row>
        <row r="5">
          <cell r="B5">
            <v>16000</v>
          </cell>
        </row>
        <row r="6">
          <cell r="B6">
            <v>97000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יעוץ מערכות מידע 1612000750"/>
      <sheetName val="יעוץ_מחשוב_ותקשורת_1731300750"/>
      <sheetName val="ריכוז_שרותי מחשוב"/>
      <sheetName val="רכש_1621100750"/>
      <sheetName val="מכרזים-2018"/>
      <sheetName val="ריכוז תקציב הוצאות תקשורת מועצה"/>
      <sheetName val="ריכוז רכש"/>
    </sheetNames>
    <sheetDataSet>
      <sheetData sheetId="6">
        <row r="21">
          <cell r="H21">
            <v>52</v>
          </cell>
        </row>
        <row r="23">
          <cell r="H23">
            <v>75</v>
          </cell>
        </row>
        <row r="24">
          <cell r="H24">
            <v>200</v>
          </cell>
        </row>
        <row r="25">
          <cell r="H25">
            <v>599</v>
          </cell>
        </row>
        <row r="26">
          <cell r="H26">
            <v>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66"/>
  <sheetViews>
    <sheetView rightToLeft="1" zoomScale="115" zoomScaleNormal="115" zoomScaleSheetLayoutView="70" zoomScalePageLayoutView="0" workbookViewId="0" topLeftCell="A1">
      <pane xSplit="6" ySplit="1" topLeftCell="G24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266" sqref="E266"/>
    </sheetView>
  </sheetViews>
  <sheetFormatPr defaultColWidth="9.140625" defaultRowHeight="12.75" outlineLevelRow="4"/>
  <cols>
    <col min="1" max="1" width="6.57421875" style="0" bestFit="1" customWidth="1"/>
    <col min="2" max="2" width="12.57421875" style="0" bestFit="1" customWidth="1"/>
    <col min="3" max="3" width="5.28125" style="0" bestFit="1" customWidth="1"/>
    <col min="4" max="4" width="7.57421875" style="0" customWidth="1"/>
    <col min="5" max="5" width="14.57421875" style="0" customWidth="1"/>
    <col min="6" max="6" width="25.28125" style="0" customWidth="1"/>
    <col min="7" max="7" width="11.7109375" style="0" bestFit="1" customWidth="1"/>
    <col min="8" max="8" width="15.28125" style="0" bestFit="1" customWidth="1"/>
    <col min="9" max="9" width="13.57421875" style="0" bestFit="1" customWidth="1"/>
    <col min="10" max="10" width="15.28125" style="0" bestFit="1" customWidth="1"/>
    <col min="11" max="11" width="13.57421875" style="0" bestFit="1" customWidth="1"/>
    <col min="12" max="12" width="15.00390625" style="0" bestFit="1" customWidth="1"/>
    <col min="13" max="13" width="13.00390625" style="0" customWidth="1"/>
    <col min="14" max="14" width="40.7109375" style="0" hidden="1" customWidth="1"/>
    <col min="15" max="15" width="0" style="0" hidden="1" customWidth="1"/>
    <col min="16" max="16" width="2.140625" style="0" customWidth="1"/>
    <col min="17" max="17" width="19.140625" style="0" customWidth="1"/>
    <col min="18" max="18" width="11.57421875" style="0" customWidth="1"/>
    <col min="19" max="44" width="0" style="0" hidden="1" customWidth="1"/>
    <col min="45" max="45" width="10.8515625" style="0" customWidth="1"/>
  </cols>
  <sheetData>
    <row r="1" spans="1:18" s="4" customFormat="1" ht="38.2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249</v>
      </c>
      <c r="M1" s="5" t="s">
        <v>250</v>
      </c>
      <c r="R1" s="48" t="s">
        <v>292</v>
      </c>
    </row>
    <row r="2" spans="2:18" ht="15" customHeight="1" outlineLevel="2">
      <c r="B2" s="2" t="s">
        <v>11</v>
      </c>
      <c r="C2">
        <v>1</v>
      </c>
      <c r="D2" s="2" t="s">
        <v>11</v>
      </c>
      <c r="E2" s="3">
        <v>1513000600</v>
      </c>
      <c r="F2" s="2" t="s">
        <v>12</v>
      </c>
      <c r="G2" s="17">
        <v>0</v>
      </c>
      <c r="H2" s="18">
        <v>289874.84</v>
      </c>
      <c r="I2" s="17">
        <v>0</v>
      </c>
      <c r="J2" s="18">
        <v>23108</v>
      </c>
      <c r="K2" s="17">
        <v>0</v>
      </c>
      <c r="L2" s="18">
        <v>183000</v>
      </c>
      <c r="M2" s="17">
        <v>0</v>
      </c>
      <c r="R2" s="47">
        <f>M2-K2</f>
        <v>0</v>
      </c>
    </row>
    <row r="3" spans="2:18" ht="15" customHeight="1" outlineLevel="2">
      <c r="B3" s="2" t="s">
        <v>11</v>
      </c>
      <c r="C3">
        <v>1</v>
      </c>
      <c r="D3" s="2" t="s">
        <v>11</v>
      </c>
      <c r="E3" s="3">
        <v>1513000690</v>
      </c>
      <c r="F3" s="2" t="s">
        <v>13</v>
      </c>
      <c r="G3" s="17">
        <v>0</v>
      </c>
      <c r="H3" s="18">
        <v>0</v>
      </c>
      <c r="I3" s="17">
        <v>0</v>
      </c>
      <c r="J3" s="18">
        <v>400</v>
      </c>
      <c r="K3" s="17">
        <v>0</v>
      </c>
      <c r="L3" s="18">
        <v>0</v>
      </c>
      <c r="M3" s="17">
        <v>0</v>
      </c>
      <c r="R3" s="47">
        <f>M3-K3</f>
        <v>0</v>
      </c>
    </row>
    <row r="4" spans="1:18" s="7" customFormat="1" ht="15" customHeight="1" outlineLevel="1">
      <c r="A4" s="8"/>
      <c r="B4" s="9"/>
      <c r="C4" s="8"/>
      <c r="D4" s="9"/>
      <c r="E4" s="10"/>
      <c r="F4" s="9"/>
      <c r="G4" s="19">
        <f aca="true" t="shared" si="0" ref="G4:M4">SUBTOTAL(9,G2:G3)</f>
        <v>0</v>
      </c>
      <c r="H4" s="20">
        <f t="shared" si="0"/>
        <v>289874.84</v>
      </c>
      <c r="I4" s="19">
        <f t="shared" si="0"/>
        <v>0</v>
      </c>
      <c r="J4" s="20">
        <f t="shared" si="0"/>
        <v>23508</v>
      </c>
      <c r="K4" s="19">
        <f t="shared" si="0"/>
        <v>0</v>
      </c>
      <c r="L4" s="20">
        <f t="shared" si="0"/>
        <v>183000</v>
      </c>
      <c r="M4" s="19">
        <f t="shared" si="0"/>
        <v>0</v>
      </c>
      <c r="R4" s="19">
        <f>SUBTOTAL(9,R2:R3)</f>
        <v>0</v>
      </c>
    </row>
    <row r="5" spans="1:18" ht="15" customHeight="1" outlineLevel="4">
      <c r="A5" s="1">
        <v>10</v>
      </c>
      <c r="B5" s="2" t="s">
        <v>14</v>
      </c>
      <c r="C5" s="1">
        <v>1</v>
      </c>
      <c r="D5" s="2" t="s">
        <v>15</v>
      </c>
      <c r="E5" s="3">
        <v>1111001100</v>
      </c>
      <c r="F5" s="2" t="s">
        <v>16</v>
      </c>
      <c r="G5" s="17">
        <v>12972000</v>
      </c>
      <c r="H5" s="18">
        <v>12434932.17</v>
      </c>
      <c r="I5" s="17">
        <v>13310000</v>
      </c>
      <c r="J5" s="18">
        <v>12519578.13</v>
      </c>
      <c r="K5" s="17">
        <v>14779000</v>
      </c>
      <c r="L5" s="18">
        <v>12542355</v>
      </c>
      <c r="M5" s="17">
        <v>14165000</v>
      </c>
      <c r="R5" s="47">
        <f>M5-K5</f>
        <v>-614000</v>
      </c>
    </row>
    <row r="6" spans="1:18" ht="15" customHeight="1" outlineLevel="4">
      <c r="A6" s="1">
        <v>10</v>
      </c>
      <c r="B6" s="2" t="s">
        <v>14</v>
      </c>
      <c r="C6" s="1">
        <v>1</v>
      </c>
      <c r="D6" s="2" t="s">
        <v>15</v>
      </c>
      <c r="E6" s="3">
        <v>1111001199</v>
      </c>
      <c r="F6" s="2" t="s">
        <v>17</v>
      </c>
      <c r="G6" s="17">
        <v>0</v>
      </c>
      <c r="H6" s="18">
        <v>-385232.47</v>
      </c>
      <c r="I6" s="17">
        <v>0</v>
      </c>
      <c r="J6" s="18">
        <v>209603</v>
      </c>
      <c r="K6" s="17">
        <v>0</v>
      </c>
      <c r="L6" s="18">
        <v>0</v>
      </c>
      <c r="M6" s="17">
        <v>0</v>
      </c>
      <c r="R6" s="47">
        <f>M6-K6</f>
        <v>0</v>
      </c>
    </row>
    <row r="7" spans="1:18" ht="15" customHeight="1" outlineLevel="4">
      <c r="A7" s="1">
        <v>10</v>
      </c>
      <c r="B7" s="2" t="s">
        <v>14</v>
      </c>
      <c r="C7" s="1">
        <v>1</v>
      </c>
      <c r="D7" s="2" t="s">
        <v>15</v>
      </c>
      <c r="E7" s="3">
        <v>1111999999</v>
      </c>
      <c r="F7" s="2" t="s">
        <v>18</v>
      </c>
      <c r="G7" s="17">
        <v>0</v>
      </c>
      <c r="H7" s="18">
        <v>7957.56</v>
      </c>
      <c r="I7" s="17">
        <v>0</v>
      </c>
      <c r="J7" s="18">
        <v>5517.57</v>
      </c>
      <c r="K7" s="17">
        <v>0</v>
      </c>
      <c r="L7" s="18">
        <v>2993</v>
      </c>
      <c r="M7" s="17">
        <v>0</v>
      </c>
      <c r="R7" s="47">
        <f>M7-K7</f>
        <v>0</v>
      </c>
    </row>
    <row r="8" spans="1:18" ht="15" customHeight="1" outlineLevel="4">
      <c r="A8" s="1">
        <v>10</v>
      </c>
      <c r="B8" s="2" t="s">
        <v>14</v>
      </c>
      <c r="C8" s="1">
        <v>1</v>
      </c>
      <c r="D8" s="2" t="s">
        <v>15</v>
      </c>
      <c r="E8" s="3">
        <v>1112001101</v>
      </c>
      <c r="F8" s="2" t="s">
        <v>19</v>
      </c>
      <c r="G8" s="17">
        <v>3335000</v>
      </c>
      <c r="H8" s="18">
        <v>4205574.97</v>
      </c>
      <c r="I8" s="17">
        <v>3700000</v>
      </c>
      <c r="J8" s="18">
        <v>4321909.81</v>
      </c>
      <c r="K8" s="17">
        <v>3883000</v>
      </c>
      <c r="L8" s="18">
        <v>3919638</v>
      </c>
      <c r="M8" s="17">
        <v>4670000</v>
      </c>
      <c r="R8" s="47">
        <f>M8-K8</f>
        <v>787000</v>
      </c>
    </row>
    <row r="9" spans="1:18" ht="15" customHeight="1" outlineLevel="4">
      <c r="A9" s="1">
        <v>10</v>
      </c>
      <c r="B9" s="2" t="s">
        <v>14</v>
      </c>
      <c r="C9" s="1">
        <v>1</v>
      </c>
      <c r="D9" s="2" t="s">
        <v>15</v>
      </c>
      <c r="E9" s="3">
        <v>1113001110</v>
      </c>
      <c r="F9" s="2" t="s">
        <v>20</v>
      </c>
      <c r="G9" s="17">
        <v>580000</v>
      </c>
      <c r="H9" s="18">
        <v>668268</v>
      </c>
      <c r="I9" s="17">
        <v>540000</v>
      </c>
      <c r="J9" s="18">
        <v>515069</v>
      </c>
      <c r="K9" s="17">
        <v>525000</v>
      </c>
      <c r="L9" s="18">
        <v>589348</v>
      </c>
      <c r="M9" s="17">
        <v>680000</v>
      </c>
      <c r="R9" s="47">
        <f>M9-K9</f>
        <v>155000</v>
      </c>
    </row>
    <row r="10" spans="1:18" s="7" customFormat="1" ht="15" customHeight="1" outlineLevel="3">
      <c r="A10" s="11"/>
      <c r="B10" s="9"/>
      <c r="C10" s="11"/>
      <c r="D10" s="9"/>
      <c r="E10" s="10"/>
      <c r="F10" s="9"/>
      <c r="G10" s="19">
        <f aca="true" t="shared" si="1" ref="G10:M10">SUBTOTAL(9,G5:G9)</f>
        <v>16887000</v>
      </c>
      <c r="H10" s="20">
        <f t="shared" si="1"/>
        <v>16931500.23</v>
      </c>
      <c r="I10" s="19">
        <f t="shared" si="1"/>
        <v>17550000</v>
      </c>
      <c r="J10" s="21">
        <f t="shared" si="1"/>
        <v>17571677.51</v>
      </c>
      <c r="K10" s="19">
        <f t="shared" si="1"/>
        <v>19187000</v>
      </c>
      <c r="L10" s="20">
        <f t="shared" si="1"/>
        <v>17054334</v>
      </c>
      <c r="M10" s="19">
        <f t="shared" si="1"/>
        <v>19515000</v>
      </c>
      <c r="O10" s="27"/>
      <c r="R10" s="19">
        <f>SUBTOTAL(9,R5:R9)</f>
        <v>328000</v>
      </c>
    </row>
    <row r="11" spans="1:18" ht="15" customHeight="1" outlineLevel="4">
      <c r="A11" s="1">
        <v>10</v>
      </c>
      <c r="B11" s="2" t="s">
        <v>14</v>
      </c>
      <c r="C11" s="1">
        <v>2</v>
      </c>
      <c r="D11" s="2" t="s">
        <v>15</v>
      </c>
      <c r="E11" s="3">
        <v>1312400420</v>
      </c>
      <c r="F11" s="2" t="s">
        <v>21</v>
      </c>
      <c r="G11" s="17">
        <v>72000</v>
      </c>
      <c r="H11" s="18">
        <v>0</v>
      </c>
      <c r="I11" s="17">
        <v>0</v>
      </c>
      <c r="J11" s="22"/>
      <c r="K11" s="17">
        <v>0</v>
      </c>
      <c r="L11" s="18">
        <v>0</v>
      </c>
      <c r="M11" s="17">
        <v>0</v>
      </c>
      <c r="R11" s="47">
        <f>M11-K11</f>
        <v>0</v>
      </c>
    </row>
    <row r="12" spans="1:18" ht="15" customHeight="1" outlineLevel="4">
      <c r="A12" s="1">
        <v>10</v>
      </c>
      <c r="B12" s="2" t="s">
        <v>14</v>
      </c>
      <c r="C12" s="1">
        <v>2</v>
      </c>
      <c r="D12" s="2" t="s">
        <v>15</v>
      </c>
      <c r="E12" s="3">
        <v>1313300420</v>
      </c>
      <c r="F12" s="2" t="s">
        <v>22</v>
      </c>
      <c r="G12" s="17">
        <v>213000</v>
      </c>
      <c r="H12" s="18">
        <v>47867.94</v>
      </c>
      <c r="I12" s="17">
        <v>24000</v>
      </c>
      <c r="J12" s="18">
        <v>57962.3</v>
      </c>
      <c r="K12" s="17">
        <v>0</v>
      </c>
      <c r="L12" s="18">
        <v>18325.2</v>
      </c>
      <c r="M12" s="17">
        <v>0</v>
      </c>
      <c r="R12" s="47">
        <f>M12-K12</f>
        <v>0</v>
      </c>
    </row>
    <row r="13" spans="1:18" ht="15" customHeight="1" outlineLevel="4">
      <c r="A13" s="1">
        <v>10</v>
      </c>
      <c r="B13" s="2" t="s">
        <v>14</v>
      </c>
      <c r="C13" s="1">
        <v>2</v>
      </c>
      <c r="D13" s="2" t="s">
        <v>15</v>
      </c>
      <c r="E13" s="3">
        <v>1317800420</v>
      </c>
      <c r="F13" s="2" t="s">
        <v>23</v>
      </c>
      <c r="G13" s="17">
        <v>0</v>
      </c>
      <c r="H13" s="18">
        <v>0</v>
      </c>
      <c r="I13" s="17">
        <v>0</v>
      </c>
      <c r="J13" s="18">
        <v>8972.74</v>
      </c>
      <c r="K13" s="17">
        <v>0</v>
      </c>
      <c r="L13" s="18">
        <v>0</v>
      </c>
      <c r="M13" s="17">
        <v>0</v>
      </c>
      <c r="R13" s="47">
        <f>M13-K13</f>
        <v>0</v>
      </c>
    </row>
    <row r="14" spans="1:18" s="7" customFormat="1" ht="15" customHeight="1" outlineLevel="3">
      <c r="A14" s="11"/>
      <c r="B14" s="9"/>
      <c r="C14" s="11"/>
      <c r="D14" s="9"/>
      <c r="E14" s="10"/>
      <c r="F14" s="9"/>
      <c r="G14" s="19">
        <f aca="true" t="shared" si="2" ref="G14:M14">SUBTOTAL(9,G11:G13)</f>
        <v>285000</v>
      </c>
      <c r="H14" s="20">
        <f t="shared" si="2"/>
        <v>47867.94</v>
      </c>
      <c r="I14" s="19">
        <f t="shared" si="2"/>
        <v>24000</v>
      </c>
      <c r="J14" s="20">
        <f t="shared" si="2"/>
        <v>66935.04000000001</v>
      </c>
      <c r="K14" s="19">
        <f t="shared" si="2"/>
        <v>0</v>
      </c>
      <c r="L14" s="20">
        <f t="shared" si="2"/>
        <v>18325.2</v>
      </c>
      <c r="M14" s="19">
        <f t="shared" si="2"/>
        <v>0</v>
      </c>
      <c r="R14" s="19">
        <f>SUBTOTAL(9,R11:R13)</f>
        <v>0</v>
      </c>
    </row>
    <row r="15" spans="1:18" ht="15" customHeight="1" outlineLevel="4">
      <c r="A15" s="1">
        <v>10</v>
      </c>
      <c r="B15" s="2" t="s">
        <v>14</v>
      </c>
      <c r="C15" s="1">
        <v>3</v>
      </c>
      <c r="D15" s="2" t="s">
        <v>15</v>
      </c>
      <c r="E15" s="3">
        <v>1344400420</v>
      </c>
      <c r="F15" s="2" t="s">
        <v>24</v>
      </c>
      <c r="G15" s="17">
        <v>300000</v>
      </c>
      <c r="H15" s="18">
        <v>236391</v>
      </c>
      <c r="I15" s="17">
        <v>300000</v>
      </c>
      <c r="J15" s="18">
        <v>215857</v>
      </c>
      <c r="K15" s="17">
        <v>300000</v>
      </c>
      <c r="L15" s="18">
        <v>180464</v>
      </c>
      <c r="M15" s="17">
        <v>270000</v>
      </c>
      <c r="R15" s="17"/>
    </row>
    <row r="16" spans="1:18" s="7" customFormat="1" ht="15" customHeight="1" outlineLevel="3">
      <c r="A16" s="11"/>
      <c r="B16" s="9"/>
      <c r="C16" s="11"/>
      <c r="D16" s="9"/>
      <c r="E16" s="10"/>
      <c r="F16" s="9"/>
      <c r="G16" s="19">
        <f aca="true" t="shared" si="3" ref="G16:M16">SUBTOTAL(9,G15:G15)</f>
        <v>300000</v>
      </c>
      <c r="H16" s="20">
        <f t="shared" si="3"/>
        <v>236391</v>
      </c>
      <c r="I16" s="19">
        <f t="shared" si="3"/>
        <v>300000</v>
      </c>
      <c r="J16" s="20">
        <f t="shared" si="3"/>
        <v>215857</v>
      </c>
      <c r="K16" s="19">
        <f t="shared" si="3"/>
        <v>300000</v>
      </c>
      <c r="L16" s="20">
        <f t="shared" si="3"/>
        <v>180464</v>
      </c>
      <c r="M16" s="19">
        <f t="shared" si="3"/>
        <v>270000</v>
      </c>
      <c r="R16" s="19">
        <f>SUBTOTAL(9,R15:R15)</f>
        <v>0</v>
      </c>
    </row>
    <row r="17" spans="1:18" ht="15" customHeight="1" outlineLevel="4">
      <c r="A17" s="1">
        <v>10</v>
      </c>
      <c r="B17" s="2" t="s">
        <v>14</v>
      </c>
      <c r="C17" s="1">
        <v>1</v>
      </c>
      <c r="D17" s="2" t="s">
        <v>15</v>
      </c>
      <c r="E17" s="3">
        <v>1129000420</v>
      </c>
      <c r="F17" s="2" t="s">
        <v>25</v>
      </c>
      <c r="G17" s="17">
        <v>60000</v>
      </c>
      <c r="H17" s="18">
        <v>27600</v>
      </c>
      <c r="I17" s="17">
        <v>30000</v>
      </c>
      <c r="J17" s="18">
        <v>55673.4</v>
      </c>
      <c r="K17" s="17">
        <v>30000</v>
      </c>
      <c r="L17" s="18">
        <v>24200</v>
      </c>
      <c r="M17" s="17">
        <v>30000</v>
      </c>
      <c r="R17" s="47">
        <f>M17-K17</f>
        <v>0</v>
      </c>
    </row>
    <row r="18" spans="1:18" ht="15" customHeight="1" outlineLevel="4">
      <c r="A18" s="1">
        <v>10</v>
      </c>
      <c r="B18" s="2" t="s">
        <v>14</v>
      </c>
      <c r="C18" s="1">
        <v>4</v>
      </c>
      <c r="D18" s="2" t="s">
        <v>15</v>
      </c>
      <c r="E18" s="3">
        <v>1212400220</v>
      </c>
      <c r="F18" s="2" t="s">
        <v>26</v>
      </c>
      <c r="G18" s="17">
        <v>103000</v>
      </c>
      <c r="H18" s="18">
        <v>4522</v>
      </c>
      <c r="I18" s="17">
        <v>0</v>
      </c>
      <c r="J18" s="22"/>
      <c r="K18" s="17">
        <v>68000</v>
      </c>
      <c r="L18" s="18">
        <v>79378.11</v>
      </c>
      <c r="M18" s="17">
        <f>'[1]סיכומים'!$E$47</f>
        <v>90000</v>
      </c>
      <c r="R18" s="47">
        <f aca="true" t="shared" si="4" ref="R18:R40">M18-K18</f>
        <v>22000</v>
      </c>
    </row>
    <row r="19" spans="1:18" ht="15" customHeight="1" outlineLevel="4">
      <c r="A19" s="1">
        <v>10</v>
      </c>
      <c r="B19" s="2" t="s">
        <v>14</v>
      </c>
      <c r="C19" s="1">
        <v>4</v>
      </c>
      <c r="D19" s="2" t="s">
        <v>15</v>
      </c>
      <c r="E19" s="3">
        <v>1214200220</v>
      </c>
      <c r="F19" s="2" t="s">
        <v>27</v>
      </c>
      <c r="G19" s="17">
        <v>3000</v>
      </c>
      <c r="H19" s="18">
        <v>24830.1</v>
      </c>
      <c r="I19" s="17">
        <v>3000</v>
      </c>
      <c r="J19" s="18">
        <v>24263.4</v>
      </c>
      <c r="K19" s="17">
        <v>19000</v>
      </c>
      <c r="L19" s="18">
        <v>18421</v>
      </c>
      <c r="M19" s="17">
        <f>'[1]סיכומים'!$E$48</f>
        <v>19000</v>
      </c>
      <c r="R19" s="47">
        <f t="shared" si="4"/>
        <v>0</v>
      </c>
    </row>
    <row r="20" spans="1:18" ht="15" customHeight="1" outlineLevel="4">
      <c r="A20" s="1">
        <v>10</v>
      </c>
      <c r="B20" s="2" t="s">
        <v>14</v>
      </c>
      <c r="C20" s="1">
        <v>4</v>
      </c>
      <c r="D20" s="2" t="s">
        <v>15</v>
      </c>
      <c r="E20" s="3">
        <v>1214300220</v>
      </c>
      <c r="F20" s="2" t="s">
        <v>28</v>
      </c>
      <c r="G20" s="17">
        <v>8000</v>
      </c>
      <c r="H20" s="18">
        <v>4120.3</v>
      </c>
      <c r="I20" s="17">
        <v>15000</v>
      </c>
      <c r="J20" s="18">
        <v>3518.5</v>
      </c>
      <c r="K20" s="17">
        <v>8000</v>
      </c>
      <c r="L20" s="18">
        <v>431</v>
      </c>
      <c r="M20" s="17">
        <f>'[1]סיכומים'!$E$49</f>
        <v>29500</v>
      </c>
      <c r="R20" s="47">
        <f t="shared" si="4"/>
        <v>21500</v>
      </c>
    </row>
    <row r="21" spans="1:18" ht="15" customHeight="1" outlineLevel="4">
      <c r="A21" s="1">
        <v>10</v>
      </c>
      <c r="B21" s="2" t="s">
        <v>14</v>
      </c>
      <c r="C21" s="1">
        <v>4</v>
      </c>
      <c r="D21" s="2" t="s">
        <v>15</v>
      </c>
      <c r="E21" s="3">
        <v>1214400220</v>
      </c>
      <c r="F21" s="2" t="s">
        <v>29</v>
      </c>
      <c r="G21" s="17">
        <v>19000</v>
      </c>
      <c r="H21" s="18">
        <v>0</v>
      </c>
      <c r="I21" s="17">
        <v>19000</v>
      </c>
      <c r="J21" s="22"/>
      <c r="K21" s="17">
        <v>7000</v>
      </c>
      <c r="L21" s="18">
        <v>0</v>
      </c>
      <c r="M21" s="17">
        <f>'[1]סיכומים'!$E$50</f>
        <v>0</v>
      </c>
      <c r="R21" s="47">
        <f t="shared" si="4"/>
        <v>-7000</v>
      </c>
    </row>
    <row r="22" spans="1:18" ht="15" customHeight="1" outlineLevel="4">
      <c r="A22" s="1">
        <v>10</v>
      </c>
      <c r="B22" s="2" t="s">
        <v>14</v>
      </c>
      <c r="C22" s="1">
        <v>4</v>
      </c>
      <c r="D22" s="2" t="s">
        <v>15</v>
      </c>
      <c r="E22" s="3">
        <v>1214500220</v>
      </c>
      <c r="F22" s="2" t="s">
        <v>30</v>
      </c>
      <c r="G22" s="17">
        <v>40000</v>
      </c>
      <c r="H22" s="18">
        <v>22862.58</v>
      </c>
      <c r="I22" s="17">
        <v>46000</v>
      </c>
      <c r="J22" s="18">
        <v>-6811.53</v>
      </c>
      <c r="K22" s="17">
        <v>46000</v>
      </c>
      <c r="L22" s="18">
        <v>39714</v>
      </c>
      <c r="M22" s="17">
        <v>105000</v>
      </c>
      <c r="R22" s="47">
        <f t="shared" si="4"/>
        <v>59000</v>
      </c>
    </row>
    <row r="23" spans="1:18" ht="15" customHeight="1" outlineLevel="4">
      <c r="A23" s="1">
        <v>10</v>
      </c>
      <c r="B23" s="2" t="s">
        <v>14</v>
      </c>
      <c r="C23" s="1">
        <v>5</v>
      </c>
      <c r="D23" s="2" t="s">
        <v>15</v>
      </c>
      <c r="E23" s="3">
        <v>1220000220</v>
      </c>
      <c r="F23" s="2" t="s">
        <v>31</v>
      </c>
      <c r="G23" s="17">
        <v>220000</v>
      </c>
      <c r="H23" s="18">
        <v>131128.88</v>
      </c>
      <c r="I23" s="17">
        <v>150000</v>
      </c>
      <c r="J23" s="18">
        <v>85933.04</v>
      </c>
      <c r="K23" s="17">
        <v>100000</v>
      </c>
      <c r="L23" s="18">
        <v>153682</v>
      </c>
      <c r="M23" s="17">
        <v>100000</v>
      </c>
      <c r="R23" s="47">
        <f t="shared" si="4"/>
        <v>0</v>
      </c>
    </row>
    <row r="24" spans="1:18" ht="15" customHeight="1" outlineLevel="4">
      <c r="A24" s="1">
        <v>10</v>
      </c>
      <c r="B24" s="2" t="s">
        <v>14</v>
      </c>
      <c r="C24" s="1">
        <v>1</v>
      </c>
      <c r="D24" s="2" t="s">
        <v>15</v>
      </c>
      <c r="E24" s="3">
        <v>1222000290</v>
      </c>
      <c r="F24" s="2" t="s">
        <v>32</v>
      </c>
      <c r="G24" s="17">
        <v>0</v>
      </c>
      <c r="H24" s="18">
        <v>17971.64</v>
      </c>
      <c r="I24" s="17">
        <v>0</v>
      </c>
      <c r="J24" s="18">
        <v>28785.28</v>
      </c>
      <c r="K24" s="17">
        <v>0</v>
      </c>
      <c r="L24" s="18">
        <v>15370</v>
      </c>
      <c r="M24" s="17">
        <v>0</v>
      </c>
      <c r="R24" s="47">
        <f t="shared" si="4"/>
        <v>0</v>
      </c>
    </row>
    <row r="25" spans="1:18" ht="15" customHeight="1" outlineLevel="4">
      <c r="A25" s="1">
        <v>10</v>
      </c>
      <c r="B25" s="2" t="s">
        <v>14</v>
      </c>
      <c r="C25" s="1">
        <v>6</v>
      </c>
      <c r="D25" s="2" t="s">
        <v>15</v>
      </c>
      <c r="E25" s="3">
        <v>1222000420</v>
      </c>
      <c r="F25" s="2" t="s">
        <v>33</v>
      </c>
      <c r="G25" s="17">
        <v>520000</v>
      </c>
      <c r="H25" s="18">
        <v>471977.77</v>
      </c>
      <c r="I25" s="17">
        <v>480000</v>
      </c>
      <c r="J25" s="18">
        <v>490153.84</v>
      </c>
      <c r="K25" s="17">
        <v>970000</v>
      </c>
      <c r="L25" s="18">
        <v>1169286</v>
      </c>
      <c r="M25" s="17">
        <v>1000000</v>
      </c>
      <c r="R25" s="47">
        <f t="shared" si="4"/>
        <v>30000</v>
      </c>
    </row>
    <row r="26" spans="1:18" ht="15" customHeight="1" outlineLevel="4">
      <c r="A26" s="1">
        <v>10</v>
      </c>
      <c r="B26" s="2" t="s">
        <v>14</v>
      </c>
      <c r="C26" s="1">
        <v>7</v>
      </c>
      <c r="D26" s="2" t="s">
        <v>15</v>
      </c>
      <c r="E26" s="3">
        <v>1233100290</v>
      </c>
      <c r="F26" s="2" t="s">
        <v>34</v>
      </c>
      <c r="G26" s="17">
        <v>90000</v>
      </c>
      <c r="H26" s="18">
        <v>40227.7</v>
      </c>
      <c r="I26" s="17">
        <v>50000</v>
      </c>
      <c r="J26" s="18">
        <v>95277</v>
      </c>
      <c r="K26" s="17">
        <v>80000</v>
      </c>
      <c r="L26" s="18">
        <v>76309</v>
      </c>
      <c r="M26" s="17">
        <v>70000</v>
      </c>
      <c r="R26" s="47">
        <f t="shared" si="4"/>
        <v>-10000</v>
      </c>
    </row>
    <row r="27" spans="1:18" ht="15" customHeight="1" outlineLevel="4">
      <c r="A27" s="1">
        <v>10</v>
      </c>
      <c r="B27" s="2" t="s">
        <v>14</v>
      </c>
      <c r="C27" s="1">
        <v>2</v>
      </c>
      <c r="D27" s="2" t="s">
        <v>15</v>
      </c>
      <c r="E27" s="3">
        <v>1260000640</v>
      </c>
      <c r="F27" s="2" t="s">
        <v>35</v>
      </c>
      <c r="G27" s="17">
        <v>0</v>
      </c>
      <c r="H27" s="18">
        <v>0</v>
      </c>
      <c r="I27" s="17">
        <v>0</v>
      </c>
      <c r="J27" s="18">
        <v>104724.78</v>
      </c>
      <c r="K27" s="17">
        <v>0</v>
      </c>
      <c r="L27" s="18">
        <v>63103</v>
      </c>
      <c r="M27" s="17">
        <v>40000</v>
      </c>
      <c r="R27" s="47">
        <f t="shared" si="4"/>
        <v>40000</v>
      </c>
    </row>
    <row r="28" spans="1:18" ht="15" customHeight="1" outlineLevel="4">
      <c r="A28" s="1">
        <v>10</v>
      </c>
      <c r="B28" s="2" t="s">
        <v>14</v>
      </c>
      <c r="C28" s="1">
        <v>1</v>
      </c>
      <c r="D28" s="2" t="s">
        <v>15</v>
      </c>
      <c r="E28" s="3">
        <v>1269000420</v>
      </c>
      <c r="F28" s="2" t="s">
        <v>36</v>
      </c>
      <c r="G28" s="17">
        <v>110000</v>
      </c>
      <c r="H28" s="18">
        <v>142750.38</v>
      </c>
      <c r="I28" s="17">
        <v>405000</v>
      </c>
      <c r="J28" s="18">
        <v>462284.3</v>
      </c>
      <c r="K28" s="17">
        <v>110000</v>
      </c>
      <c r="L28" s="18">
        <v>30000</v>
      </c>
      <c r="M28" s="17">
        <f>50000+150000</f>
        <v>200000</v>
      </c>
      <c r="Q28" s="42" t="s">
        <v>280</v>
      </c>
      <c r="R28" s="47">
        <f t="shared" si="4"/>
        <v>90000</v>
      </c>
    </row>
    <row r="29" spans="1:18" ht="15" customHeight="1" outlineLevel="4">
      <c r="A29" s="1">
        <v>10</v>
      </c>
      <c r="B29" s="2" t="s">
        <v>14</v>
      </c>
      <c r="C29" s="1">
        <v>4</v>
      </c>
      <c r="D29" s="2" t="s">
        <v>15</v>
      </c>
      <c r="E29" s="3">
        <v>1281000420</v>
      </c>
      <c r="F29" s="2" t="s">
        <v>37</v>
      </c>
      <c r="G29" s="17">
        <v>4000</v>
      </c>
      <c r="H29" s="18">
        <v>1.4</v>
      </c>
      <c r="I29" s="17">
        <v>3000</v>
      </c>
      <c r="J29" s="18">
        <v>514.6</v>
      </c>
      <c r="K29" s="17">
        <v>1000</v>
      </c>
      <c r="L29" s="18">
        <v>3173</v>
      </c>
      <c r="M29" s="17">
        <f>'[1]סיכומים'!$E$55</f>
        <v>2500</v>
      </c>
      <c r="R29" s="47">
        <f t="shared" si="4"/>
        <v>1500</v>
      </c>
    </row>
    <row r="30" spans="1:18" ht="15" customHeight="1" outlineLevel="4">
      <c r="A30" s="1">
        <v>10</v>
      </c>
      <c r="B30" s="2" t="s">
        <v>14</v>
      </c>
      <c r="C30" s="1">
        <v>3</v>
      </c>
      <c r="D30" s="2" t="s">
        <v>15</v>
      </c>
      <c r="E30" s="3">
        <v>1323000420</v>
      </c>
      <c r="F30" s="2" t="s">
        <v>38</v>
      </c>
      <c r="G30" s="17">
        <v>2000</v>
      </c>
      <c r="H30" s="18">
        <v>10205</v>
      </c>
      <c r="I30" s="17">
        <v>2000</v>
      </c>
      <c r="J30" s="18">
        <v>1165.5</v>
      </c>
      <c r="K30" s="17">
        <v>2000</v>
      </c>
      <c r="L30" s="18">
        <v>380</v>
      </c>
      <c r="M30" s="17">
        <v>2000</v>
      </c>
      <c r="R30" s="47">
        <f t="shared" si="4"/>
        <v>0</v>
      </c>
    </row>
    <row r="31" spans="1:18" ht="15" customHeight="1" outlineLevel="4">
      <c r="A31" s="1">
        <v>10</v>
      </c>
      <c r="B31" s="2" t="s">
        <v>14</v>
      </c>
      <c r="C31" s="1">
        <v>3</v>
      </c>
      <c r="D31" s="2" t="s">
        <v>15</v>
      </c>
      <c r="E31" s="3">
        <v>1324300420</v>
      </c>
      <c r="F31" s="2" t="s">
        <v>39</v>
      </c>
      <c r="G31" s="17">
        <v>380000</v>
      </c>
      <c r="H31" s="18">
        <v>191092</v>
      </c>
      <c r="I31" s="17">
        <v>345000</v>
      </c>
      <c r="J31" s="18">
        <v>153950</v>
      </c>
      <c r="K31" s="17">
        <v>0</v>
      </c>
      <c r="L31" s="18">
        <v>2800</v>
      </c>
      <c r="M31" s="56">
        <v>515000</v>
      </c>
      <c r="R31" s="47">
        <f t="shared" si="4"/>
        <v>515000</v>
      </c>
    </row>
    <row r="32" spans="1:18" ht="15" customHeight="1" outlineLevel="4">
      <c r="A32" s="1">
        <v>10</v>
      </c>
      <c r="B32" s="2" t="s">
        <v>14</v>
      </c>
      <c r="C32" s="1">
        <v>3</v>
      </c>
      <c r="D32" s="2" t="s">
        <v>15</v>
      </c>
      <c r="E32" s="3">
        <v>1326100420</v>
      </c>
      <c r="F32" s="2" t="s">
        <v>40</v>
      </c>
      <c r="G32" s="17">
        <v>3577000</v>
      </c>
      <c r="H32" s="18">
        <v>2993532.83</v>
      </c>
      <c r="I32" s="17">
        <v>3200000</v>
      </c>
      <c r="J32" s="18">
        <v>3989327.12</v>
      </c>
      <c r="K32" s="17">
        <v>2780000</v>
      </c>
      <c r="L32" s="18">
        <v>3749665</v>
      </c>
      <c r="M32" s="17">
        <f>2760000+122000+50000</f>
        <v>2932000</v>
      </c>
      <c r="R32" s="47">
        <f t="shared" si="4"/>
        <v>152000</v>
      </c>
    </row>
    <row r="33" spans="1:18" ht="15" customHeight="1" outlineLevel="4">
      <c r="A33" s="1">
        <v>10</v>
      </c>
      <c r="B33" s="2" t="s">
        <v>14</v>
      </c>
      <c r="C33" s="1">
        <v>3</v>
      </c>
      <c r="D33" s="2" t="s">
        <v>15</v>
      </c>
      <c r="E33" s="3">
        <v>1326400420</v>
      </c>
      <c r="F33" s="2" t="s">
        <v>41</v>
      </c>
      <c r="G33" s="17">
        <v>1348000</v>
      </c>
      <c r="H33" s="18">
        <v>1166319.68</v>
      </c>
      <c r="I33" s="17">
        <v>1098000</v>
      </c>
      <c r="J33" s="18">
        <v>581044.36</v>
      </c>
      <c r="K33" s="17">
        <v>910000</v>
      </c>
      <c r="L33" s="18">
        <v>243279</v>
      </c>
      <c r="M33" s="17">
        <f>910000+43000</f>
        <v>953000</v>
      </c>
      <c r="R33" s="47">
        <f t="shared" si="4"/>
        <v>43000</v>
      </c>
    </row>
    <row r="34" spans="1:19" ht="15" customHeight="1" outlineLevel="4">
      <c r="A34" s="1">
        <v>10</v>
      </c>
      <c r="B34" s="2" t="s">
        <v>14</v>
      </c>
      <c r="C34" s="1">
        <v>5</v>
      </c>
      <c r="D34" s="2" t="s">
        <v>15</v>
      </c>
      <c r="E34" s="3">
        <v>1440000420</v>
      </c>
      <c r="F34" s="2" t="s">
        <v>42</v>
      </c>
      <c r="G34" s="17">
        <v>300000</v>
      </c>
      <c r="H34" s="18">
        <v>316198.5</v>
      </c>
      <c r="I34" s="17">
        <v>120000</v>
      </c>
      <c r="J34" s="18">
        <v>46026.02</v>
      </c>
      <c r="K34" s="17">
        <v>380000</v>
      </c>
      <c r="L34" s="18">
        <v>29821</v>
      </c>
      <c r="M34" s="17">
        <v>28000</v>
      </c>
      <c r="R34" s="47">
        <f t="shared" si="4"/>
        <v>-352000</v>
      </c>
      <c r="S34">
        <f>L34/$Q$35*$R$35</f>
        <v>1459.1642218276047</v>
      </c>
    </row>
    <row r="35" spans="1:19" ht="15" customHeight="1" outlineLevel="4">
      <c r="A35" s="1">
        <v>10</v>
      </c>
      <c r="B35" s="2" t="s">
        <v>14</v>
      </c>
      <c r="C35" s="1">
        <v>5</v>
      </c>
      <c r="D35" s="2" t="s">
        <v>15</v>
      </c>
      <c r="E35" s="3">
        <v>1440000421</v>
      </c>
      <c r="F35" s="2" t="s">
        <v>43</v>
      </c>
      <c r="G35" s="17">
        <v>0</v>
      </c>
      <c r="H35" s="18">
        <v>0</v>
      </c>
      <c r="I35" s="17">
        <v>10000</v>
      </c>
      <c r="J35" s="18">
        <v>35440.23</v>
      </c>
      <c r="K35" s="17">
        <v>0</v>
      </c>
      <c r="L35" s="18">
        <v>27225</v>
      </c>
      <c r="M35" s="17">
        <v>24000</v>
      </c>
      <c r="Q35">
        <f>SUBTOTAL(9,L34:L36)</f>
        <v>490489</v>
      </c>
      <c r="R35" s="47">
        <f t="shared" si="4"/>
        <v>24000</v>
      </c>
      <c r="S35">
        <f>L35/$Q$35*$R$35</f>
        <v>1332.139966441653</v>
      </c>
    </row>
    <row r="36" spans="1:19" ht="15" customHeight="1" outlineLevel="4">
      <c r="A36" s="1">
        <v>10</v>
      </c>
      <c r="B36" s="2" t="s">
        <v>14</v>
      </c>
      <c r="C36" s="1">
        <v>5</v>
      </c>
      <c r="D36" s="2" t="s">
        <v>15</v>
      </c>
      <c r="E36" s="3">
        <v>1440000422</v>
      </c>
      <c r="F36" s="2" t="s">
        <v>44</v>
      </c>
      <c r="G36" s="17">
        <v>0</v>
      </c>
      <c r="H36" s="18">
        <v>0</v>
      </c>
      <c r="I36" s="17">
        <v>120000</v>
      </c>
      <c r="J36" s="18">
        <v>475207.3</v>
      </c>
      <c r="K36" s="17">
        <v>0</v>
      </c>
      <c r="L36" s="18">
        <v>433443</v>
      </c>
      <c r="M36" s="17">
        <v>368000</v>
      </c>
      <c r="R36" s="47">
        <f t="shared" si="4"/>
        <v>368000</v>
      </c>
      <c r="S36">
        <f>L36/$Q$35*$R$35</f>
        <v>21208.69581173074</v>
      </c>
    </row>
    <row r="37" spans="1:18" ht="15" customHeight="1" outlineLevel="4">
      <c r="A37" s="1">
        <v>10</v>
      </c>
      <c r="B37" s="2" t="s">
        <v>14</v>
      </c>
      <c r="C37" s="1">
        <v>5</v>
      </c>
      <c r="D37" s="2" t="s">
        <v>15</v>
      </c>
      <c r="E37" s="3">
        <v>1443100420</v>
      </c>
      <c r="F37" s="2" t="s">
        <v>45</v>
      </c>
      <c r="G37" s="17">
        <v>900000</v>
      </c>
      <c r="H37" s="18">
        <v>460191.66</v>
      </c>
      <c r="I37" s="17">
        <v>700000</v>
      </c>
      <c r="J37" s="18">
        <v>517784.98</v>
      </c>
      <c r="K37" s="17">
        <v>700000</v>
      </c>
      <c r="L37" s="18">
        <v>352545</v>
      </c>
      <c r="M37" s="17">
        <v>600000</v>
      </c>
      <c r="R37" s="47">
        <f t="shared" si="4"/>
        <v>-100000</v>
      </c>
    </row>
    <row r="38" spans="1:18" ht="15" customHeight="1" outlineLevel="4">
      <c r="A38" s="1">
        <v>10</v>
      </c>
      <c r="B38" s="2" t="s">
        <v>14</v>
      </c>
      <c r="C38" s="1">
        <v>5</v>
      </c>
      <c r="D38" s="2" t="s">
        <v>15</v>
      </c>
      <c r="E38" s="3">
        <v>1443200420</v>
      </c>
      <c r="F38" s="2" t="s">
        <v>46</v>
      </c>
      <c r="G38" s="17">
        <v>0</v>
      </c>
      <c r="H38" s="18">
        <v>17475.4</v>
      </c>
      <c r="I38" s="17">
        <v>0</v>
      </c>
      <c r="J38" s="18">
        <v>10750</v>
      </c>
      <c r="K38" s="17">
        <v>0</v>
      </c>
      <c r="L38" s="18">
        <v>13.1</v>
      </c>
      <c r="M38" s="17">
        <v>0</v>
      </c>
      <c r="R38" s="47">
        <f t="shared" si="4"/>
        <v>0</v>
      </c>
    </row>
    <row r="39" spans="1:18" ht="15" customHeight="1" outlineLevel="4">
      <c r="A39" s="1">
        <v>10</v>
      </c>
      <c r="B39" s="2" t="s">
        <v>14</v>
      </c>
      <c r="C39" s="1">
        <v>1</v>
      </c>
      <c r="D39" s="2" t="s">
        <v>15</v>
      </c>
      <c r="E39" s="3">
        <v>1591300990</v>
      </c>
      <c r="F39" s="2" t="s">
        <v>47</v>
      </c>
      <c r="G39" s="17">
        <v>750000</v>
      </c>
      <c r="H39" s="18">
        <v>1050000</v>
      </c>
      <c r="I39" s="17">
        <v>0</v>
      </c>
      <c r="J39" s="22"/>
      <c r="K39" s="17">
        <v>0</v>
      </c>
      <c r="L39" s="18">
        <v>0</v>
      </c>
      <c r="M39" s="17">
        <v>0</v>
      </c>
      <c r="R39" s="47">
        <f t="shared" si="4"/>
        <v>0</v>
      </c>
    </row>
    <row r="40" spans="1:45" ht="15" customHeight="1" outlineLevel="4">
      <c r="A40" s="1">
        <v>10</v>
      </c>
      <c r="B40" s="2" t="s">
        <v>14</v>
      </c>
      <c r="C40" s="1">
        <v>7</v>
      </c>
      <c r="D40" s="2" t="s">
        <v>15</v>
      </c>
      <c r="E40" s="3">
        <v>1591908590</v>
      </c>
      <c r="F40" s="2" t="s">
        <v>48</v>
      </c>
      <c r="G40" s="17">
        <v>10455000</v>
      </c>
      <c r="H40" s="18">
        <v>8468823.8</v>
      </c>
      <c r="I40" s="17">
        <v>8981000</v>
      </c>
      <c r="J40" s="18">
        <v>7081172</v>
      </c>
      <c r="K40" s="17">
        <v>9081000</v>
      </c>
      <c r="L40" s="18">
        <v>2742674</v>
      </c>
      <c r="M40" s="52">
        <f>-(M82+M83+M84+M85+M86+M87+M88+M89+M90+M117+M142+M143+M144+M145+M146+M147+M148+M149+M150+M151+M153+M154+M155+M156+M157+M158+M159+M160+M161+M173+M174)*1.15+400</f>
        <v>9274000</v>
      </c>
      <c r="R40" s="47">
        <f t="shared" si="4"/>
        <v>193000</v>
      </c>
      <c r="AS40" s="17"/>
    </row>
    <row r="41" spans="1:18" s="7" customFormat="1" ht="15" customHeight="1" outlineLevel="3">
      <c r="A41" s="11"/>
      <c r="B41" s="9"/>
      <c r="C41" s="11"/>
      <c r="D41" s="9"/>
      <c r="E41" s="10"/>
      <c r="F41" s="9"/>
      <c r="G41" s="19">
        <f aca="true" t="shared" si="5" ref="G41:M41">SUBTOTAL(9,G17:G40)</f>
        <v>18889000</v>
      </c>
      <c r="H41" s="20">
        <f t="shared" si="5"/>
        <v>15561831.620000001</v>
      </c>
      <c r="I41" s="19">
        <f t="shared" si="5"/>
        <v>15777000</v>
      </c>
      <c r="J41" s="20">
        <f t="shared" si="5"/>
        <v>14236184.120000001</v>
      </c>
      <c r="K41" s="19">
        <f t="shared" si="5"/>
        <v>15292000</v>
      </c>
      <c r="L41" s="20">
        <f t="shared" si="5"/>
        <v>9254912.209999999</v>
      </c>
      <c r="M41" s="19">
        <f t="shared" si="5"/>
        <v>16382000</v>
      </c>
      <c r="R41" s="19">
        <f>SUBTOTAL(9,R17:R40)</f>
        <v>1090000</v>
      </c>
    </row>
    <row r="42" spans="1:18" s="7" customFormat="1" ht="15" customHeight="1" outlineLevel="2">
      <c r="A42" s="11"/>
      <c r="B42" s="9"/>
      <c r="C42" s="11"/>
      <c r="D42" s="11"/>
      <c r="E42" s="10"/>
      <c r="F42" s="12" t="s">
        <v>236</v>
      </c>
      <c r="G42" s="19">
        <f aca="true" t="shared" si="6" ref="G42:M42">SUBTOTAL(9,G5:G40)</f>
        <v>36361000</v>
      </c>
      <c r="H42" s="20">
        <f t="shared" si="6"/>
        <v>32777590.79</v>
      </c>
      <c r="I42" s="19">
        <f t="shared" si="6"/>
        <v>33651000</v>
      </c>
      <c r="J42" s="20">
        <f t="shared" si="6"/>
        <v>32090653.67</v>
      </c>
      <c r="K42" s="19">
        <f t="shared" si="6"/>
        <v>34779000</v>
      </c>
      <c r="L42" s="20">
        <f t="shared" si="6"/>
        <v>26508035.41</v>
      </c>
      <c r="M42" s="19">
        <f t="shared" si="6"/>
        <v>36167000</v>
      </c>
      <c r="R42" s="19">
        <f>SUBTOTAL(9,R5:R40)</f>
        <v>1418000</v>
      </c>
    </row>
    <row r="43" spans="1:18" ht="15" customHeight="1" outlineLevel="4">
      <c r="A43" s="1">
        <v>10</v>
      </c>
      <c r="B43" s="2" t="s">
        <v>14</v>
      </c>
      <c r="C43" s="1">
        <v>2</v>
      </c>
      <c r="D43" s="2" t="s">
        <v>49</v>
      </c>
      <c r="E43" s="3">
        <v>1312200920</v>
      </c>
      <c r="F43" s="2" t="s">
        <v>50</v>
      </c>
      <c r="G43" s="17">
        <v>763000</v>
      </c>
      <c r="H43" s="18">
        <v>776188.75</v>
      </c>
      <c r="I43" s="17">
        <v>536000</v>
      </c>
      <c r="J43" s="18">
        <v>816485.06</v>
      </c>
      <c r="K43" s="17">
        <v>955000</v>
      </c>
      <c r="L43" s="18">
        <v>617433</v>
      </c>
      <c r="M43" s="17">
        <f>811000+83000</f>
        <v>894000</v>
      </c>
      <c r="Q43" t="s">
        <v>293</v>
      </c>
      <c r="R43" s="47">
        <f aca="true" t="shared" si="7" ref="R43:R48">M43-K43</f>
        <v>-61000</v>
      </c>
    </row>
    <row r="44" spans="1:18" ht="15" customHeight="1" outlineLevel="4">
      <c r="A44" s="1">
        <v>10</v>
      </c>
      <c r="B44" s="2" t="s">
        <v>14</v>
      </c>
      <c r="C44" s="1">
        <v>2</v>
      </c>
      <c r="D44" s="2" t="s">
        <v>49</v>
      </c>
      <c r="E44" s="3">
        <v>1313200920</v>
      </c>
      <c r="F44" s="2" t="s">
        <v>51</v>
      </c>
      <c r="G44" s="17">
        <v>360000</v>
      </c>
      <c r="H44" s="18">
        <v>489430.36</v>
      </c>
      <c r="I44" s="17">
        <v>423000</v>
      </c>
      <c r="J44" s="18">
        <v>562104.77</v>
      </c>
      <c r="K44" s="17">
        <v>423000</v>
      </c>
      <c r="L44" s="18">
        <v>497333</v>
      </c>
      <c r="M44" s="17">
        <f>398000+240000</f>
        <v>638000</v>
      </c>
      <c r="R44" s="47">
        <f t="shared" si="7"/>
        <v>215000</v>
      </c>
    </row>
    <row r="45" spans="1:18" ht="15" customHeight="1" outlineLevel="4">
      <c r="A45" s="1">
        <v>10</v>
      </c>
      <c r="B45" s="2" t="s">
        <v>14</v>
      </c>
      <c r="C45" s="1">
        <v>2</v>
      </c>
      <c r="D45" s="2" t="s">
        <v>49</v>
      </c>
      <c r="E45" s="3">
        <v>1317100920</v>
      </c>
      <c r="F45" s="2" t="s">
        <v>52</v>
      </c>
      <c r="G45" s="17">
        <v>36000</v>
      </c>
      <c r="H45" s="18">
        <v>21450.95</v>
      </c>
      <c r="I45" s="17">
        <v>20000</v>
      </c>
      <c r="J45" s="18">
        <v>21947.39</v>
      </c>
      <c r="K45" s="17">
        <v>20000</v>
      </c>
      <c r="L45" s="18">
        <v>17186</v>
      </c>
      <c r="M45" s="17">
        <v>20000</v>
      </c>
      <c r="R45" s="47">
        <f t="shared" si="7"/>
        <v>0</v>
      </c>
    </row>
    <row r="46" spans="1:18" ht="15" customHeight="1" outlineLevel="4">
      <c r="A46" s="1">
        <v>10</v>
      </c>
      <c r="B46" s="2" t="s">
        <v>14</v>
      </c>
      <c r="C46" s="1">
        <v>2</v>
      </c>
      <c r="D46" s="2" t="s">
        <v>49</v>
      </c>
      <c r="E46" s="3">
        <v>1317300920</v>
      </c>
      <c r="F46" s="2" t="s">
        <v>53</v>
      </c>
      <c r="G46" s="17">
        <v>87000</v>
      </c>
      <c r="H46" s="18">
        <v>84195.44</v>
      </c>
      <c r="I46" s="17">
        <v>90000</v>
      </c>
      <c r="J46" s="18">
        <v>85214.57</v>
      </c>
      <c r="K46" s="17">
        <v>130000</v>
      </c>
      <c r="L46" s="18">
        <v>99619</v>
      </c>
      <c r="M46" s="17">
        <f>20000*0.75*0.68*12+350*10+100</f>
        <v>126000</v>
      </c>
      <c r="Q46" t="s">
        <v>259</v>
      </c>
      <c r="R46" s="47">
        <f t="shared" si="7"/>
        <v>-4000</v>
      </c>
    </row>
    <row r="47" spans="1:18" ht="15" customHeight="1" outlineLevel="4">
      <c r="A47" s="1">
        <v>10</v>
      </c>
      <c r="B47" s="2" t="s">
        <v>14</v>
      </c>
      <c r="C47" s="1">
        <v>2</v>
      </c>
      <c r="D47" s="2" t="s">
        <v>49</v>
      </c>
      <c r="E47" s="3">
        <v>1317800920</v>
      </c>
      <c r="F47" s="2" t="s">
        <v>54</v>
      </c>
      <c r="G47" s="17">
        <v>103000</v>
      </c>
      <c r="H47" s="18">
        <v>96515.44</v>
      </c>
      <c r="I47" s="17">
        <v>100000</v>
      </c>
      <c r="J47" s="18">
        <v>187107.18</v>
      </c>
      <c r="K47" s="17">
        <v>100000</v>
      </c>
      <c r="L47" s="18">
        <v>64544</v>
      </c>
      <c r="M47" s="17">
        <v>100000</v>
      </c>
      <c r="R47" s="47">
        <f t="shared" si="7"/>
        <v>0</v>
      </c>
    </row>
    <row r="48" spans="1:18" ht="15" customHeight="1" outlineLevel="4">
      <c r="A48" s="1">
        <v>10</v>
      </c>
      <c r="B48" s="2" t="s">
        <v>14</v>
      </c>
      <c r="C48" s="1">
        <v>2</v>
      </c>
      <c r="D48" s="2" t="s">
        <v>49</v>
      </c>
      <c r="E48" s="3">
        <v>1319300920</v>
      </c>
      <c r="F48" s="2" t="s">
        <v>55</v>
      </c>
      <c r="G48" s="17">
        <v>20000</v>
      </c>
      <c r="H48" s="18">
        <v>55000</v>
      </c>
      <c r="I48" s="17">
        <v>20000</v>
      </c>
      <c r="J48" s="18">
        <v>92500</v>
      </c>
      <c r="K48" s="17">
        <v>20000</v>
      </c>
      <c r="L48" s="18">
        <v>30000</v>
      </c>
      <c r="M48" s="17">
        <v>65000</v>
      </c>
      <c r="R48" s="47">
        <f t="shared" si="7"/>
        <v>45000</v>
      </c>
    </row>
    <row r="49" spans="1:18" s="7" customFormat="1" ht="15" customHeight="1" outlineLevel="3">
      <c r="A49" s="11"/>
      <c r="B49" s="9"/>
      <c r="C49" s="11"/>
      <c r="D49" s="9"/>
      <c r="E49" s="10"/>
      <c r="F49" s="9"/>
      <c r="G49" s="19">
        <f aca="true" t="shared" si="8" ref="G49:M49">SUBTOTAL(9,G43:G48)</f>
        <v>1369000</v>
      </c>
      <c r="H49" s="20">
        <f t="shared" si="8"/>
        <v>1522780.9399999997</v>
      </c>
      <c r="I49" s="19">
        <f t="shared" si="8"/>
        <v>1189000</v>
      </c>
      <c r="J49" s="20">
        <f t="shared" si="8"/>
        <v>1765358.97</v>
      </c>
      <c r="K49" s="19">
        <f t="shared" si="8"/>
        <v>1648000</v>
      </c>
      <c r="L49" s="20">
        <f t="shared" si="8"/>
        <v>1326115</v>
      </c>
      <c r="M49" s="19">
        <f t="shared" si="8"/>
        <v>1843000</v>
      </c>
      <c r="R49" s="19">
        <f>SUBTOTAL(9,R43:R48)</f>
        <v>195000</v>
      </c>
    </row>
    <row r="50" spans="1:18" s="7" customFormat="1" ht="15" customHeight="1" outlineLevel="2">
      <c r="A50" s="11"/>
      <c r="B50" s="9"/>
      <c r="C50" s="11"/>
      <c r="D50" s="11"/>
      <c r="E50" s="10"/>
      <c r="F50" s="12" t="s">
        <v>237</v>
      </c>
      <c r="G50" s="19">
        <f aca="true" t="shared" si="9" ref="G50:M50">SUBTOTAL(9,G43:G48)</f>
        <v>1369000</v>
      </c>
      <c r="H50" s="20">
        <f t="shared" si="9"/>
        <v>1522780.9399999997</v>
      </c>
      <c r="I50" s="19">
        <f t="shared" si="9"/>
        <v>1189000</v>
      </c>
      <c r="J50" s="20">
        <f t="shared" si="9"/>
        <v>1765358.97</v>
      </c>
      <c r="K50" s="19">
        <f t="shared" si="9"/>
        <v>1648000</v>
      </c>
      <c r="L50" s="20">
        <f t="shared" si="9"/>
        <v>1326115</v>
      </c>
      <c r="M50" s="19">
        <f t="shared" si="9"/>
        <v>1843000</v>
      </c>
      <c r="R50" s="19">
        <f>SUBTOTAL(9,R43:R48)</f>
        <v>195000</v>
      </c>
    </row>
    <row r="51" spans="1:18" ht="15" customHeight="1" outlineLevel="4">
      <c r="A51" s="1">
        <v>10</v>
      </c>
      <c r="B51" s="2" t="s">
        <v>14</v>
      </c>
      <c r="C51" s="1">
        <v>8</v>
      </c>
      <c r="D51" s="2" t="s">
        <v>56</v>
      </c>
      <c r="E51" s="3">
        <v>1340000930</v>
      </c>
      <c r="F51" s="2" t="s">
        <v>57</v>
      </c>
      <c r="G51" s="17">
        <v>620000</v>
      </c>
      <c r="H51" s="18">
        <v>482443</v>
      </c>
      <c r="I51" s="17">
        <v>620000</v>
      </c>
      <c r="J51" s="18">
        <v>553887</v>
      </c>
      <c r="K51" s="17">
        <v>500000</v>
      </c>
      <c r="L51" s="18">
        <v>438406</v>
      </c>
      <c r="M51" s="17">
        <v>550000</v>
      </c>
      <c r="R51" s="47">
        <f>M51-K51</f>
        <v>50000</v>
      </c>
    </row>
    <row r="52" spans="1:18" s="7" customFormat="1" ht="15" customHeight="1" outlineLevel="3">
      <c r="A52" s="11"/>
      <c r="B52" s="9"/>
      <c r="C52" s="11"/>
      <c r="D52" s="9"/>
      <c r="E52" s="10"/>
      <c r="F52" s="9"/>
      <c r="G52" s="19">
        <f aca="true" t="shared" si="10" ref="G52:M52">SUBTOTAL(9,G51:G51)</f>
        <v>620000</v>
      </c>
      <c r="H52" s="20">
        <f t="shared" si="10"/>
        <v>482443</v>
      </c>
      <c r="I52" s="19">
        <f t="shared" si="10"/>
        <v>620000</v>
      </c>
      <c r="J52" s="20">
        <f t="shared" si="10"/>
        <v>553887</v>
      </c>
      <c r="K52" s="19">
        <f t="shared" si="10"/>
        <v>500000</v>
      </c>
      <c r="L52" s="20">
        <f t="shared" si="10"/>
        <v>438406</v>
      </c>
      <c r="M52" s="19">
        <f t="shared" si="10"/>
        <v>550000</v>
      </c>
      <c r="R52" s="19">
        <f>SUBTOTAL(9,R51:R51)</f>
        <v>50000</v>
      </c>
    </row>
    <row r="53" spans="1:18" s="7" customFormat="1" ht="15" customHeight="1" outlineLevel="2">
      <c r="A53" s="11"/>
      <c r="B53" s="9"/>
      <c r="C53" s="11"/>
      <c r="D53" s="11"/>
      <c r="E53" s="10"/>
      <c r="F53" s="12" t="s">
        <v>238</v>
      </c>
      <c r="G53" s="19">
        <f aca="true" t="shared" si="11" ref="G53:M53">SUBTOTAL(9,G51:G51)</f>
        <v>620000</v>
      </c>
      <c r="H53" s="20">
        <f t="shared" si="11"/>
        <v>482443</v>
      </c>
      <c r="I53" s="19">
        <f t="shared" si="11"/>
        <v>620000</v>
      </c>
      <c r="J53" s="20">
        <f t="shared" si="11"/>
        <v>553887</v>
      </c>
      <c r="K53" s="19">
        <f t="shared" si="11"/>
        <v>500000</v>
      </c>
      <c r="L53" s="20">
        <f t="shared" si="11"/>
        <v>438406</v>
      </c>
      <c r="M53" s="19">
        <f t="shared" si="11"/>
        <v>550000</v>
      </c>
      <c r="R53" s="19">
        <f>SUBTOTAL(9,R51:R51)</f>
        <v>50000</v>
      </c>
    </row>
    <row r="54" spans="1:18" ht="15" customHeight="1" outlineLevel="4">
      <c r="A54" s="1">
        <v>10</v>
      </c>
      <c r="B54" s="2" t="s">
        <v>14</v>
      </c>
      <c r="C54" s="1">
        <v>2</v>
      </c>
      <c r="D54" s="2" t="s">
        <v>58</v>
      </c>
      <c r="E54" s="3">
        <v>1222000994</v>
      </c>
      <c r="F54" s="2" t="s">
        <v>59</v>
      </c>
      <c r="G54" s="17">
        <v>60000</v>
      </c>
      <c r="H54" s="18">
        <v>39955.69</v>
      </c>
      <c r="I54" s="17">
        <v>26000</v>
      </c>
      <c r="J54" s="18">
        <v>79159.19</v>
      </c>
      <c r="K54" s="17">
        <v>26000</v>
      </c>
      <c r="L54" s="18">
        <v>20562.06</v>
      </c>
      <c r="M54" s="17">
        <v>0</v>
      </c>
      <c r="R54" s="47">
        <f>M54-K54</f>
        <v>-26000</v>
      </c>
    </row>
    <row r="55" spans="1:18" ht="15" customHeight="1" outlineLevel="4">
      <c r="A55" s="1">
        <v>10</v>
      </c>
      <c r="B55" s="2" t="s">
        <v>14</v>
      </c>
      <c r="C55" s="1">
        <v>4</v>
      </c>
      <c r="D55" s="2" t="s">
        <v>58</v>
      </c>
      <c r="E55" s="3">
        <v>1226000910</v>
      </c>
      <c r="F55" s="2" t="s">
        <v>60</v>
      </c>
      <c r="G55" s="17">
        <v>0</v>
      </c>
      <c r="H55" s="18">
        <v>2000</v>
      </c>
      <c r="I55" s="17">
        <v>0</v>
      </c>
      <c r="J55" s="18">
        <v>43880</v>
      </c>
      <c r="K55" s="17">
        <v>0</v>
      </c>
      <c r="L55" s="18">
        <v>0</v>
      </c>
      <c r="M55" s="17">
        <v>0</v>
      </c>
      <c r="R55" s="47">
        <f>M55-K55</f>
        <v>0</v>
      </c>
    </row>
    <row r="56" spans="1:18" ht="15" customHeight="1" outlineLevel="4">
      <c r="A56" s="1">
        <v>10</v>
      </c>
      <c r="B56" s="2" t="s">
        <v>14</v>
      </c>
      <c r="C56" s="1">
        <v>4</v>
      </c>
      <c r="D56" s="2" t="s">
        <v>58</v>
      </c>
      <c r="E56" s="3">
        <v>1244400991</v>
      </c>
      <c r="F56" s="2" t="s">
        <v>61</v>
      </c>
      <c r="G56" s="17">
        <v>83000</v>
      </c>
      <c r="H56" s="18">
        <v>0</v>
      </c>
      <c r="I56" s="17">
        <v>84000</v>
      </c>
      <c r="J56" s="22"/>
      <c r="K56" s="17">
        <v>74000</v>
      </c>
      <c r="L56" s="18">
        <v>0</v>
      </c>
      <c r="M56" s="17">
        <f>'[1]סיכומים'!$E$54</f>
        <v>80000</v>
      </c>
      <c r="R56" s="47">
        <f>M56-K56</f>
        <v>6000</v>
      </c>
    </row>
    <row r="57" spans="1:18" s="7" customFormat="1" ht="15" customHeight="1" outlineLevel="3">
      <c r="A57" s="11"/>
      <c r="B57" s="9"/>
      <c r="C57" s="11"/>
      <c r="D57" s="9"/>
      <c r="E57" s="10"/>
      <c r="F57" s="9"/>
      <c r="G57" s="19">
        <f aca="true" t="shared" si="12" ref="G57:M57">SUBTOTAL(9,G54:G56)</f>
        <v>143000</v>
      </c>
      <c r="H57" s="20">
        <f t="shared" si="12"/>
        <v>41955.69</v>
      </c>
      <c r="I57" s="19">
        <f t="shared" si="12"/>
        <v>110000</v>
      </c>
      <c r="J57" s="23">
        <f t="shared" si="12"/>
        <v>123039.19</v>
      </c>
      <c r="K57" s="19">
        <f t="shared" si="12"/>
        <v>100000</v>
      </c>
      <c r="L57" s="20">
        <f t="shared" si="12"/>
        <v>20562.06</v>
      </c>
      <c r="M57" s="19">
        <f t="shared" si="12"/>
        <v>80000</v>
      </c>
      <c r="R57" s="19">
        <f>SUBTOTAL(9,R54:R56)</f>
        <v>-20000</v>
      </c>
    </row>
    <row r="58" spans="1:18" ht="29.25" customHeight="1" outlineLevel="4">
      <c r="A58" s="1">
        <v>10</v>
      </c>
      <c r="B58" s="2" t="s">
        <v>14</v>
      </c>
      <c r="C58" s="1">
        <v>6</v>
      </c>
      <c r="D58" s="2" t="s">
        <v>58</v>
      </c>
      <c r="E58" s="3">
        <v>1225000990</v>
      </c>
      <c r="F58" s="36" t="s">
        <v>62</v>
      </c>
      <c r="G58" s="17">
        <v>24000</v>
      </c>
      <c r="H58" s="18">
        <v>0</v>
      </c>
      <c r="I58" s="17">
        <v>0</v>
      </c>
      <c r="J58" s="22"/>
      <c r="K58" s="17">
        <v>0</v>
      </c>
      <c r="L58" s="18">
        <v>0</v>
      </c>
      <c r="M58" s="17">
        <f>-M139*60%</f>
        <v>18000</v>
      </c>
      <c r="R58" s="47">
        <f>M58-K58</f>
        <v>18000</v>
      </c>
    </row>
    <row r="59" spans="1:18" s="7" customFormat="1" ht="15" customHeight="1" outlineLevel="3">
      <c r="A59" s="11"/>
      <c r="B59" s="9"/>
      <c r="C59" s="11"/>
      <c r="D59" s="9"/>
      <c r="E59" s="10"/>
      <c r="F59" s="9"/>
      <c r="G59" s="19">
        <f aca="true" t="shared" si="13" ref="G59:M59">SUBTOTAL(9,G58:G58)</f>
        <v>24000</v>
      </c>
      <c r="H59" s="20">
        <f t="shared" si="13"/>
        <v>0</v>
      </c>
      <c r="I59" s="19">
        <f t="shared" si="13"/>
        <v>0</v>
      </c>
      <c r="J59" s="23">
        <f t="shared" si="13"/>
        <v>0</v>
      </c>
      <c r="K59" s="19">
        <f t="shared" si="13"/>
        <v>0</v>
      </c>
      <c r="L59" s="20">
        <f t="shared" si="13"/>
        <v>0</v>
      </c>
      <c r="M59" s="19">
        <f t="shared" si="13"/>
        <v>18000</v>
      </c>
      <c r="R59" s="19">
        <f>SUBTOTAL(9,R58:R58)</f>
        <v>18000</v>
      </c>
    </row>
    <row r="60" spans="1:18" s="7" customFormat="1" ht="15" customHeight="1" outlineLevel="2">
      <c r="A60" s="11"/>
      <c r="B60" s="9"/>
      <c r="C60" s="11"/>
      <c r="E60" s="10"/>
      <c r="F60" s="12" t="s">
        <v>239</v>
      </c>
      <c r="G60" s="19">
        <f aca="true" t="shared" si="14" ref="G60:M60">SUBTOTAL(9,G54:G58)</f>
        <v>167000</v>
      </c>
      <c r="H60" s="20">
        <f t="shared" si="14"/>
        <v>41955.69</v>
      </c>
      <c r="I60" s="19">
        <f t="shared" si="14"/>
        <v>110000</v>
      </c>
      <c r="J60" s="23">
        <f t="shared" si="14"/>
        <v>123039.19</v>
      </c>
      <c r="K60" s="19">
        <f t="shared" si="14"/>
        <v>100000</v>
      </c>
      <c r="L60" s="20">
        <f t="shared" si="14"/>
        <v>20562.06</v>
      </c>
      <c r="M60" s="19">
        <f t="shared" si="14"/>
        <v>98000</v>
      </c>
      <c r="R60" s="19">
        <f>SUBTOTAL(9,R54:R58)</f>
        <v>-2000</v>
      </c>
    </row>
    <row r="61" spans="1:18" ht="15" customHeight="1" outlineLevel="4">
      <c r="A61" s="1">
        <v>10</v>
      </c>
      <c r="B61" s="2" t="s">
        <v>14</v>
      </c>
      <c r="C61" s="1">
        <v>1</v>
      </c>
      <c r="D61" s="2" t="s">
        <v>63</v>
      </c>
      <c r="E61" s="3">
        <v>1511000661</v>
      </c>
      <c r="F61" s="2" t="s">
        <v>64</v>
      </c>
      <c r="G61" s="17">
        <v>650000</v>
      </c>
      <c r="H61" s="18">
        <v>176000</v>
      </c>
      <c r="I61" s="17">
        <v>170000</v>
      </c>
      <c r="J61" s="18">
        <v>28540</v>
      </c>
      <c r="K61" s="17">
        <v>170000</v>
      </c>
      <c r="L61" s="18">
        <v>0</v>
      </c>
      <c r="M61" s="17">
        <v>0</v>
      </c>
      <c r="R61" s="47">
        <f>M61-K61</f>
        <v>-170000</v>
      </c>
    </row>
    <row r="62" spans="1:18" ht="15" customHeight="1" outlineLevel="4">
      <c r="A62" s="1">
        <v>10</v>
      </c>
      <c r="B62" s="2" t="s">
        <v>14</v>
      </c>
      <c r="C62" s="1">
        <v>1</v>
      </c>
      <c r="D62" s="2" t="s">
        <v>63</v>
      </c>
      <c r="E62" s="3">
        <v>1591300661</v>
      </c>
      <c r="F62" s="2" t="s">
        <v>65</v>
      </c>
      <c r="G62" s="17">
        <v>3000</v>
      </c>
      <c r="H62" s="18">
        <v>3518.6</v>
      </c>
      <c r="I62" s="17">
        <v>3000</v>
      </c>
      <c r="J62" s="18">
        <v>4031.85</v>
      </c>
      <c r="K62" s="17">
        <v>3000</v>
      </c>
      <c r="L62" s="18">
        <v>3088</v>
      </c>
      <c r="M62" s="17">
        <v>3000</v>
      </c>
      <c r="R62" s="47">
        <f>M62-K62</f>
        <v>0</v>
      </c>
    </row>
    <row r="63" spans="1:18" s="7" customFormat="1" ht="15" customHeight="1" outlineLevel="3">
      <c r="A63" s="11"/>
      <c r="B63" s="9"/>
      <c r="C63" s="11"/>
      <c r="D63" s="9"/>
      <c r="E63" s="10"/>
      <c r="F63" s="9"/>
      <c r="G63" s="19">
        <f aca="true" t="shared" si="15" ref="G63:M63">SUBTOTAL(9,G61:G62)</f>
        <v>653000</v>
      </c>
      <c r="H63" s="20">
        <f t="shared" si="15"/>
        <v>179518.6</v>
      </c>
      <c r="I63" s="19">
        <f t="shared" si="15"/>
        <v>173000</v>
      </c>
      <c r="J63" s="21">
        <f t="shared" si="15"/>
        <v>32571.85</v>
      </c>
      <c r="K63" s="19">
        <f t="shared" si="15"/>
        <v>173000</v>
      </c>
      <c r="L63" s="20">
        <f t="shared" si="15"/>
        <v>3088</v>
      </c>
      <c r="M63" s="19">
        <f t="shared" si="15"/>
        <v>3000</v>
      </c>
      <c r="R63" s="19">
        <f>SUBTOTAL(9,R61:R62)</f>
        <v>-170000</v>
      </c>
    </row>
    <row r="64" spans="1:18" s="7" customFormat="1" ht="15" customHeight="1" outlineLevel="2">
      <c r="A64" s="11"/>
      <c r="B64" s="9"/>
      <c r="C64" s="11"/>
      <c r="D64" s="12" t="s">
        <v>240</v>
      </c>
      <c r="E64" s="10"/>
      <c r="F64" s="9"/>
      <c r="G64" s="19">
        <f aca="true" t="shared" si="16" ref="G64:M64">SUBTOTAL(9,G61:G62)</f>
        <v>653000</v>
      </c>
      <c r="H64" s="20">
        <f t="shared" si="16"/>
        <v>179518.6</v>
      </c>
      <c r="I64" s="19">
        <f t="shared" si="16"/>
        <v>173000</v>
      </c>
      <c r="J64" s="21">
        <f t="shared" si="16"/>
        <v>32571.85</v>
      </c>
      <c r="K64" s="19">
        <f t="shared" si="16"/>
        <v>173000</v>
      </c>
      <c r="L64" s="20">
        <f t="shared" si="16"/>
        <v>3088</v>
      </c>
      <c r="M64" s="19">
        <f t="shared" si="16"/>
        <v>3000</v>
      </c>
      <c r="R64" s="19">
        <f>SUBTOTAL(9,R61:R62)</f>
        <v>-170000</v>
      </c>
    </row>
    <row r="65" spans="1:18" ht="15" customHeight="1" outlineLevel="4">
      <c r="A65" s="1">
        <v>10</v>
      </c>
      <c r="B65" s="2" t="s">
        <v>14</v>
      </c>
      <c r="C65" s="1">
        <v>1</v>
      </c>
      <c r="D65" s="2" t="s">
        <v>66</v>
      </c>
      <c r="E65" s="3">
        <v>1581100420</v>
      </c>
      <c r="F65" s="2" t="s">
        <v>67</v>
      </c>
      <c r="G65" s="17">
        <v>414000</v>
      </c>
      <c r="H65" s="18">
        <v>0</v>
      </c>
      <c r="I65" s="17">
        <v>0</v>
      </c>
      <c r="J65" s="22"/>
      <c r="K65" s="17">
        <v>0</v>
      </c>
      <c r="L65" s="18">
        <v>0</v>
      </c>
      <c r="M65" s="17">
        <v>103000</v>
      </c>
      <c r="R65" s="47">
        <f>M65-K65</f>
        <v>103000</v>
      </c>
    </row>
    <row r="66" spans="1:18" s="7" customFormat="1" ht="15" customHeight="1" outlineLevel="3">
      <c r="A66" s="11"/>
      <c r="B66" s="9"/>
      <c r="C66" s="11"/>
      <c r="D66" s="9"/>
      <c r="E66" s="10"/>
      <c r="F66" s="9"/>
      <c r="G66" s="19">
        <f aca="true" t="shared" si="17" ref="G66:M66">SUBTOTAL(9,G65:G65)</f>
        <v>414000</v>
      </c>
      <c r="H66" s="20">
        <f t="shared" si="17"/>
        <v>0</v>
      </c>
      <c r="I66" s="19">
        <f t="shared" si="17"/>
        <v>0</v>
      </c>
      <c r="J66" s="23">
        <f t="shared" si="17"/>
        <v>0</v>
      </c>
      <c r="K66" s="19">
        <f t="shared" si="17"/>
        <v>0</v>
      </c>
      <c r="L66" s="20">
        <f t="shared" si="17"/>
        <v>0</v>
      </c>
      <c r="M66" s="19">
        <f t="shared" si="17"/>
        <v>103000</v>
      </c>
      <c r="R66" s="19">
        <f>SUBTOTAL(9,R65:R65)</f>
        <v>103000</v>
      </c>
    </row>
    <row r="67" spans="1:18" s="7" customFormat="1" ht="15" customHeight="1" outlineLevel="2">
      <c r="A67" s="11"/>
      <c r="B67" s="9"/>
      <c r="C67" s="11"/>
      <c r="D67" s="12" t="s">
        <v>241</v>
      </c>
      <c r="E67" s="10"/>
      <c r="F67" s="9"/>
      <c r="G67" s="19">
        <f aca="true" t="shared" si="18" ref="G67:M67">SUBTOTAL(9,G65:G65)</f>
        <v>414000</v>
      </c>
      <c r="H67" s="20">
        <f t="shared" si="18"/>
        <v>0</v>
      </c>
      <c r="I67" s="19">
        <f t="shared" si="18"/>
        <v>0</v>
      </c>
      <c r="J67" s="23">
        <f t="shared" si="18"/>
        <v>0</v>
      </c>
      <c r="K67" s="19">
        <f t="shared" si="18"/>
        <v>0</v>
      </c>
      <c r="L67" s="20">
        <f t="shared" si="18"/>
        <v>0</v>
      </c>
      <c r="M67" s="19">
        <f t="shared" si="18"/>
        <v>103000</v>
      </c>
      <c r="R67" s="19">
        <f>SUBTOTAL(9,R65:R65)</f>
        <v>103000</v>
      </c>
    </row>
    <row r="68" spans="1:18" s="7" customFormat="1" ht="15" customHeight="1" outlineLevel="1">
      <c r="A68" s="11"/>
      <c r="B68" s="12" t="s">
        <v>233</v>
      </c>
      <c r="C68" s="11"/>
      <c r="D68" s="9"/>
      <c r="E68" s="10"/>
      <c r="F68" s="9"/>
      <c r="G68" s="19">
        <f aca="true" t="shared" si="19" ref="G68:M68">SUBTOTAL(9,G5:G65)</f>
        <v>39584000</v>
      </c>
      <c r="H68" s="20">
        <f t="shared" si="19"/>
        <v>35004289.019999996</v>
      </c>
      <c r="I68" s="19">
        <f t="shared" si="19"/>
        <v>35743000</v>
      </c>
      <c r="J68" s="23">
        <f t="shared" si="19"/>
        <v>34565510.68</v>
      </c>
      <c r="K68" s="19">
        <f t="shared" si="19"/>
        <v>37200000</v>
      </c>
      <c r="L68" s="20">
        <f t="shared" si="19"/>
        <v>28296206.47</v>
      </c>
      <c r="M68" s="19">
        <f t="shared" si="19"/>
        <v>38764000</v>
      </c>
      <c r="R68" s="19">
        <f>SUBTOTAL(9,R5:R65)</f>
        <v>1594000</v>
      </c>
    </row>
    <row r="69" spans="1:18" ht="15" customHeight="1" outlineLevel="4">
      <c r="A69" s="1">
        <v>20</v>
      </c>
      <c r="B69" s="2" t="s">
        <v>68</v>
      </c>
      <c r="C69" s="1">
        <v>1</v>
      </c>
      <c r="D69" s="2" t="s">
        <v>69</v>
      </c>
      <c r="E69" s="3">
        <v>1611000110</v>
      </c>
      <c r="F69" s="2" t="s">
        <v>70</v>
      </c>
      <c r="G69" s="17">
        <v>-716000</v>
      </c>
      <c r="H69" s="18">
        <v>-689837.84</v>
      </c>
      <c r="I69" s="17">
        <v>-695000</v>
      </c>
      <c r="J69" s="18">
        <v>-695217.4</v>
      </c>
      <c r="K69" s="17">
        <v>-630000</v>
      </c>
      <c r="L69" s="18">
        <v>-516566</v>
      </c>
      <c r="M69" s="17">
        <v>-630000</v>
      </c>
      <c r="R69" s="47">
        <f aca="true" t="shared" si="20" ref="R69:R104">M69-K69</f>
        <v>0</v>
      </c>
    </row>
    <row r="70" spans="1:18" ht="15" customHeight="1" outlineLevel="4">
      <c r="A70" s="1">
        <v>20</v>
      </c>
      <c r="B70" s="2" t="s">
        <v>68</v>
      </c>
      <c r="C70" s="1">
        <v>1</v>
      </c>
      <c r="D70" s="2" t="s">
        <v>69</v>
      </c>
      <c r="E70" s="3">
        <v>1612000110</v>
      </c>
      <c r="F70" s="2" t="s">
        <v>71</v>
      </c>
      <c r="G70" s="17">
        <v>-84000</v>
      </c>
      <c r="H70" s="18">
        <v>-95770.18</v>
      </c>
      <c r="I70" s="17">
        <v>-92000</v>
      </c>
      <c r="J70" s="18">
        <v>-94076.9</v>
      </c>
      <c r="K70" s="17">
        <v>-92000</v>
      </c>
      <c r="L70" s="18">
        <v>-85203</v>
      </c>
      <c r="M70" s="17">
        <v>-102000</v>
      </c>
      <c r="R70" s="47">
        <f t="shared" si="20"/>
        <v>-10000</v>
      </c>
    </row>
    <row r="71" spans="1:18" ht="15" customHeight="1" outlineLevel="4">
      <c r="A71" s="1">
        <v>20</v>
      </c>
      <c r="B71" s="2" t="s">
        <v>68</v>
      </c>
      <c r="C71" s="1">
        <v>1</v>
      </c>
      <c r="D71" s="2" t="s">
        <v>69</v>
      </c>
      <c r="E71" s="3">
        <v>1613100110</v>
      </c>
      <c r="F71" s="2" t="s">
        <v>72</v>
      </c>
      <c r="G71" s="17">
        <v>-84000</v>
      </c>
      <c r="H71" s="18">
        <v>-96280.33</v>
      </c>
      <c r="I71" s="17">
        <v>-129000</v>
      </c>
      <c r="J71" s="18">
        <v>-98718.75</v>
      </c>
      <c r="K71" s="17">
        <v>-129000</v>
      </c>
      <c r="L71" s="18">
        <v>-85807</v>
      </c>
      <c r="M71" s="17">
        <v>-102000</v>
      </c>
      <c r="R71" s="47">
        <f t="shared" si="20"/>
        <v>27000</v>
      </c>
    </row>
    <row r="72" spans="1:18" ht="15" customHeight="1" outlineLevel="4">
      <c r="A72" s="1">
        <v>20</v>
      </c>
      <c r="B72" s="2" t="s">
        <v>68</v>
      </c>
      <c r="C72" s="1">
        <v>1</v>
      </c>
      <c r="D72" s="2" t="s">
        <v>69</v>
      </c>
      <c r="E72" s="3">
        <v>1614200110</v>
      </c>
      <c r="F72" s="2" t="s">
        <v>73</v>
      </c>
      <c r="G72" s="17">
        <v>0</v>
      </c>
      <c r="H72" s="18">
        <v>0</v>
      </c>
      <c r="I72" s="17">
        <v>-131000</v>
      </c>
      <c r="J72" s="22"/>
      <c r="K72" s="17">
        <v>0</v>
      </c>
      <c r="L72" s="18">
        <v>0</v>
      </c>
      <c r="M72" s="17">
        <v>0</v>
      </c>
      <c r="R72" s="47">
        <f t="shared" si="20"/>
        <v>0</v>
      </c>
    </row>
    <row r="73" spans="1:18" ht="15" customHeight="1" outlineLevel="4">
      <c r="A73" s="1">
        <v>20</v>
      </c>
      <c r="B73" s="2" t="s">
        <v>68</v>
      </c>
      <c r="C73" s="1">
        <v>1</v>
      </c>
      <c r="D73" s="2" t="s">
        <v>69</v>
      </c>
      <c r="E73" s="3">
        <v>1621000110</v>
      </c>
      <c r="F73" s="2" t="s">
        <v>74</v>
      </c>
      <c r="G73" s="17">
        <v>-373000</v>
      </c>
      <c r="H73" s="18">
        <v>-321578.46</v>
      </c>
      <c r="I73" s="17">
        <v>-350000</v>
      </c>
      <c r="J73" s="18">
        <v>-346560.93</v>
      </c>
      <c r="K73" s="17">
        <v>-350000</v>
      </c>
      <c r="L73" s="18">
        <v>-300471</v>
      </c>
      <c r="M73" s="17">
        <v>-377000</v>
      </c>
      <c r="R73" s="47">
        <f t="shared" si="20"/>
        <v>-27000</v>
      </c>
    </row>
    <row r="74" spans="1:18" ht="15" customHeight="1" outlineLevel="4">
      <c r="A74" s="1">
        <v>20</v>
      </c>
      <c r="B74" s="2" t="s">
        <v>68</v>
      </c>
      <c r="C74" s="1">
        <v>1</v>
      </c>
      <c r="D74" s="2" t="s">
        <v>69</v>
      </c>
      <c r="E74" s="3">
        <v>1621000210</v>
      </c>
      <c r="F74" s="2" t="s">
        <v>75</v>
      </c>
      <c r="G74" s="17">
        <v>-62000</v>
      </c>
      <c r="H74" s="18">
        <v>-138784.77</v>
      </c>
      <c r="I74" s="17">
        <v>-70000</v>
      </c>
      <c r="J74" s="18">
        <v>-160488.58</v>
      </c>
      <c r="K74" s="17">
        <v>-49000</v>
      </c>
      <c r="L74" s="18">
        <v>-144103</v>
      </c>
      <c r="M74" s="17">
        <v>-173000</v>
      </c>
      <c r="R74" s="47">
        <f t="shared" si="20"/>
        <v>-124000</v>
      </c>
    </row>
    <row r="75" spans="1:18" ht="15" customHeight="1" outlineLevel="4">
      <c r="A75" s="1">
        <v>20</v>
      </c>
      <c r="B75" s="2" t="s">
        <v>68</v>
      </c>
      <c r="C75" s="1">
        <v>1</v>
      </c>
      <c r="D75" s="2" t="s">
        <v>69</v>
      </c>
      <c r="E75" s="3">
        <v>1621000399</v>
      </c>
      <c r="F75" s="2" t="s">
        <v>76</v>
      </c>
      <c r="G75" s="17">
        <v>0</v>
      </c>
      <c r="H75" s="18">
        <v>0</v>
      </c>
      <c r="I75" s="17">
        <v>0</v>
      </c>
      <c r="J75" s="18">
        <v>25848.14</v>
      </c>
      <c r="K75" s="17">
        <v>0</v>
      </c>
      <c r="L75" s="18">
        <v>0</v>
      </c>
      <c r="M75" s="17">
        <v>0</v>
      </c>
      <c r="R75" s="47">
        <f t="shared" si="20"/>
        <v>0</v>
      </c>
    </row>
    <row r="76" spans="1:18" ht="15" customHeight="1" outlineLevel="4">
      <c r="A76" s="1">
        <v>20</v>
      </c>
      <c r="B76" s="2" t="s">
        <v>68</v>
      </c>
      <c r="C76" s="1">
        <v>4</v>
      </c>
      <c r="D76" s="2" t="s">
        <v>69</v>
      </c>
      <c r="E76" s="3">
        <v>1712200110</v>
      </c>
      <c r="F76" s="2" t="s">
        <v>77</v>
      </c>
      <c r="G76" s="17">
        <v>-111000</v>
      </c>
      <c r="H76" s="18">
        <v>-118664.15</v>
      </c>
      <c r="I76" s="17">
        <v>-120000</v>
      </c>
      <c r="J76" s="18">
        <v>-125999.23</v>
      </c>
      <c r="K76" s="17">
        <v>-121000</v>
      </c>
      <c r="L76" s="18">
        <v>-151162</v>
      </c>
      <c r="M76" s="17">
        <v>-121000</v>
      </c>
      <c r="R76" s="47">
        <f t="shared" si="20"/>
        <v>0</v>
      </c>
    </row>
    <row r="77" spans="1:18" ht="15" customHeight="1" outlineLevel="4">
      <c r="A77" s="1">
        <v>20</v>
      </c>
      <c r="B77" s="2" t="s">
        <v>68</v>
      </c>
      <c r="C77" s="1">
        <v>4</v>
      </c>
      <c r="D77" s="2" t="s">
        <v>69</v>
      </c>
      <c r="E77" s="3">
        <v>1714000110</v>
      </c>
      <c r="F77" s="2" t="s">
        <v>78</v>
      </c>
      <c r="G77" s="17">
        <v>-46000</v>
      </c>
      <c r="H77" s="18">
        <v>-45940.53</v>
      </c>
      <c r="I77" s="17">
        <v>-46000</v>
      </c>
      <c r="J77" s="18">
        <v>-55099.65</v>
      </c>
      <c r="K77" s="17">
        <v>-48000</v>
      </c>
      <c r="L77" s="18">
        <v>-57898</v>
      </c>
      <c r="M77" s="17">
        <v>-71000</v>
      </c>
      <c r="Q77" s="42" t="s">
        <v>275</v>
      </c>
      <c r="R77" s="47">
        <f t="shared" si="20"/>
        <v>-23000</v>
      </c>
    </row>
    <row r="78" spans="1:18" ht="15" customHeight="1" outlineLevel="4">
      <c r="A78" s="1">
        <v>20</v>
      </c>
      <c r="B78" s="2" t="s">
        <v>68</v>
      </c>
      <c r="C78" s="1">
        <v>6</v>
      </c>
      <c r="D78" s="2" t="s">
        <v>69</v>
      </c>
      <c r="E78" s="3">
        <v>1725000110</v>
      </c>
      <c r="F78" s="2" t="s">
        <v>79</v>
      </c>
      <c r="G78" s="17">
        <v>-126000</v>
      </c>
      <c r="H78" s="18">
        <v>-110947.28</v>
      </c>
      <c r="I78" s="17">
        <v>-111000</v>
      </c>
      <c r="J78" s="18">
        <v>-126722.34</v>
      </c>
      <c r="K78" s="17">
        <v>-88000</v>
      </c>
      <c r="L78" s="18">
        <v>-116772</v>
      </c>
      <c r="M78" s="17">
        <v>-151000</v>
      </c>
      <c r="Q78" s="42" t="s">
        <v>276</v>
      </c>
      <c r="R78" s="47">
        <f t="shared" si="20"/>
        <v>-63000</v>
      </c>
    </row>
    <row r="79" spans="1:18" ht="15" customHeight="1" outlineLevel="4">
      <c r="A79" s="1">
        <v>20</v>
      </c>
      <c r="B79" s="2" t="s">
        <v>68</v>
      </c>
      <c r="C79" s="1">
        <v>6</v>
      </c>
      <c r="D79" s="2" t="s">
        <v>69</v>
      </c>
      <c r="E79" s="3">
        <v>1725100110</v>
      </c>
      <c r="F79" s="2" t="s">
        <v>80</v>
      </c>
      <c r="G79" s="17">
        <v>-64000</v>
      </c>
      <c r="H79" s="18">
        <v>-55652.44</v>
      </c>
      <c r="I79" s="17">
        <v>-55000</v>
      </c>
      <c r="J79" s="18">
        <v>-63511.09</v>
      </c>
      <c r="K79" s="17">
        <v>-44000</v>
      </c>
      <c r="L79" s="18">
        <v>-58723</v>
      </c>
      <c r="M79" s="17">
        <v>-75000</v>
      </c>
      <c r="Q79" s="42" t="s">
        <v>276</v>
      </c>
      <c r="R79" s="47">
        <f t="shared" si="20"/>
        <v>-31000</v>
      </c>
    </row>
    <row r="80" spans="1:18" ht="15" customHeight="1" outlineLevel="4">
      <c r="A80" s="1">
        <v>20</v>
      </c>
      <c r="B80" s="2" t="s">
        <v>68</v>
      </c>
      <c r="C80" s="1">
        <v>6</v>
      </c>
      <c r="D80" s="2" t="s">
        <v>69</v>
      </c>
      <c r="E80" s="36" t="s">
        <v>288</v>
      </c>
      <c r="F80" s="2" t="s">
        <v>289</v>
      </c>
      <c r="G80" s="17">
        <v>0</v>
      </c>
      <c r="H80" s="18">
        <v>0</v>
      </c>
      <c r="I80" s="17">
        <v>0</v>
      </c>
      <c r="J80" s="18">
        <v>0</v>
      </c>
      <c r="K80" s="17">
        <v>0</v>
      </c>
      <c r="L80" s="18">
        <v>0</v>
      </c>
      <c r="M80" s="17">
        <v>-90000</v>
      </c>
      <c r="Q80" s="42"/>
      <c r="R80" s="47">
        <f t="shared" si="20"/>
        <v>-90000</v>
      </c>
    </row>
    <row r="81" spans="1:45" ht="15" customHeight="1" outlineLevel="4">
      <c r="A81" s="1">
        <v>20</v>
      </c>
      <c r="B81" s="2" t="s">
        <v>68</v>
      </c>
      <c r="C81" s="1">
        <v>6</v>
      </c>
      <c r="D81" s="2" t="s">
        <v>69</v>
      </c>
      <c r="E81" s="3">
        <v>1726000110</v>
      </c>
      <c r="F81" s="2" t="s">
        <v>81</v>
      </c>
      <c r="G81" s="17">
        <v>0</v>
      </c>
      <c r="H81" s="18">
        <v>-54856.59</v>
      </c>
      <c r="I81" s="17">
        <v>-30000</v>
      </c>
      <c r="J81" s="18">
        <v>-29564.77</v>
      </c>
      <c r="K81" s="17">
        <v>-130000</v>
      </c>
      <c r="L81" s="18">
        <v>-99143</v>
      </c>
      <c r="M81" s="17">
        <v>0</v>
      </c>
      <c r="R81" s="47">
        <f t="shared" si="20"/>
        <v>130000</v>
      </c>
      <c r="AS81" s="42" t="s">
        <v>294</v>
      </c>
    </row>
    <row r="82" spans="1:18" ht="15" customHeight="1" outlineLevel="4">
      <c r="A82" s="1">
        <v>20</v>
      </c>
      <c r="B82" s="2" t="s">
        <v>68</v>
      </c>
      <c r="C82" s="1">
        <v>7</v>
      </c>
      <c r="D82" s="2" t="s">
        <v>69</v>
      </c>
      <c r="E82" s="3">
        <v>1731000110</v>
      </c>
      <c r="F82" s="2" t="s">
        <v>82</v>
      </c>
      <c r="G82" s="17">
        <v>-362000</v>
      </c>
      <c r="H82" s="18">
        <v>-300295.64</v>
      </c>
      <c r="I82" s="17">
        <v>-301000</v>
      </c>
      <c r="J82" s="18">
        <v>-314082.53</v>
      </c>
      <c r="K82" s="17">
        <v>-300000</v>
      </c>
      <c r="L82" s="18">
        <f>-176127</f>
        <v>-176127</v>
      </c>
      <c r="M82" s="17">
        <v>-345000</v>
      </c>
      <c r="Q82" s="42" t="s">
        <v>277</v>
      </c>
      <c r="R82" s="47">
        <f t="shared" si="20"/>
        <v>-45000</v>
      </c>
    </row>
    <row r="83" spans="1:18" ht="21.75" customHeight="1" outlineLevel="4">
      <c r="A83" s="1">
        <v>20</v>
      </c>
      <c r="B83" s="2" t="s">
        <v>68</v>
      </c>
      <c r="C83" s="39">
        <v>7</v>
      </c>
      <c r="D83" s="38" t="s">
        <v>69</v>
      </c>
      <c r="E83" s="40">
        <v>1731000210</v>
      </c>
      <c r="F83" s="2" t="s">
        <v>83</v>
      </c>
      <c r="G83" s="17">
        <v>-140000</v>
      </c>
      <c r="H83" s="43">
        <v>0</v>
      </c>
      <c r="I83" s="17">
        <v>0</v>
      </c>
      <c r="J83" s="44"/>
      <c r="K83" s="17">
        <v>0</v>
      </c>
      <c r="L83" s="43">
        <v>0</v>
      </c>
      <c r="M83" s="46">
        <v>-175000</v>
      </c>
      <c r="Q83" t="s">
        <v>261</v>
      </c>
      <c r="R83" s="47">
        <f t="shared" si="20"/>
        <v>-175000</v>
      </c>
    </row>
    <row r="84" spans="1:18" ht="15" customHeight="1" outlineLevel="4">
      <c r="A84" s="1">
        <v>20</v>
      </c>
      <c r="B84" s="2" t="s">
        <v>68</v>
      </c>
      <c r="C84" s="1">
        <v>7</v>
      </c>
      <c r="D84" s="2" t="s">
        <v>69</v>
      </c>
      <c r="E84" s="3">
        <v>1731100110</v>
      </c>
      <c r="F84" s="2" t="s">
        <v>84</v>
      </c>
      <c r="G84" s="17">
        <v>-101000</v>
      </c>
      <c r="H84" s="18">
        <v>-118470.61</v>
      </c>
      <c r="I84" s="17">
        <v>-118000</v>
      </c>
      <c r="J84" s="18">
        <v>-135168.02</v>
      </c>
      <c r="K84" s="17">
        <v>-130000</v>
      </c>
      <c r="L84" s="18">
        <v>-156467</v>
      </c>
      <c r="M84" s="17">
        <v>-187000</v>
      </c>
      <c r="Q84" s="42" t="s">
        <v>278</v>
      </c>
      <c r="R84" s="47">
        <f t="shared" si="20"/>
        <v>-57000</v>
      </c>
    </row>
    <row r="85" spans="1:18" ht="15" customHeight="1" outlineLevel="4">
      <c r="A85" s="1">
        <v>20</v>
      </c>
      <c r="B85" s="2" t="s">
        <v>68</v>
      </c>
      <c r="C85" s="1">
        <v>7</v>
      </c>
      <c r="D85" s="2" t="s">
        <v>69</v>
      </c>
      <c r="E85" s="3">
        <v>1731120110</v>
      </c>
      <c r="F85" s="2" t="s">
        <v>260</v>
      </c>
      <c r="G85" s="17">
        <v>0</v>
      </c>
      <c r="H85" s="43">
        <v>-16486</v>
      </c>
      <c r="I85" s="17">
        <v>0</v>
      </c>
      <c r="J85" s="43">
        <v>-128649.77</v>
      </c>
      <c r="K85" s="17">
        <v>0</v>
      </c>
      <c r="L85" s="43">
        <v>-203781</v>
      </c>
      <c r="M85" s="17"/>
      <c r="R85" s="47">
        <f t="shared" si="20"/>
        <v>0</v>
      </c>
    </row>
    <row r="86" spans="1:18" ht="15" customHeight="1" outlineLevel="4">
      <c r="A86" s="1">
        <v>20</v>
      </c>
      <c r="B86" s="2" t="s">
        <v>68</v>
      </c>
      <c r="C86" s="1">
        <v>7</v>
      </c>
      <c r="D86" s="2" t="s">
        <v>69</v>
      </c>
      <c r="E86" s="3">
        <v>1731200110</v>
      </c>
      <c r="F86" s="2" t="s">
        <v>85</v>
      </c>
      <c r="G86" s="17">
        <v>-113000</v>
      </c>
      <c r="H86" s="18">
        <v>-52824.17</v>
      </c>
      <c r="I86" s="17">
        <v>-83000</v>
      </c>
      <c r="J86" s="18">
        <v>-56298.36</v>
      </c>
      <c r="K86" s="17">
        <v>-134000</v>
      </c>
      <c r="L86" s="18">
        <v>-53474</v>
      </c>
      <c r="M86" s="17">
        <v>-65000</v>
      </c>
      <c r="R86" s="47">
        <f t="shared" si="20"/>
        <v>69000</v>
      </c>
    </row>
    <row r="87" spans="1:18" ht="15" customHeight="1" outlineLevel="4">
      <c r="A87" s="1">
        <v>20</v>
      </c>
      <c r="B87" s="2" t="s">
        <v>68</v>
      </c>
      <c r="C87" s="1">
        <v>7</v>
      </c>
      <c r="D87" s="2" t="s">
        <v>69</v>
      </c>
      <c r="E87" s="3">
        <v>1731300110</v>
      </c>
      <c r="F87" s="2" t="s">
        <v>86</v>
      </c>
      <c r="G87" s="17">
        <v>-132000</v>
      </c>
      <c r="H87" s="18">
        <v>-124194.93</v>
      </c>
      <c r="I87" s="17">
        <v>-118000</v>
      </c>
      <c r="J87" s="18">
        <v>-79099.23</v>
      </c>
      <c r="K87" s="17">
        <v>-240000</v>
      </c>
      <c r="L87" s="18">
        <v>-157260</v>
      </c>
      <c r="M87" s="17">
        <v>-365000</v>
      </c>
      <c r="R87" s="47">
        <f t="shared" si="20"/>
        <v>-125000</v>
      </c>
    </row>
    <row r="88" spans="1:18" ht="15" customHeight="1" outlineLevel="4">
      <c r="A88" s="1">
        <v>20</v>
      </c>
      <c r="B88" s="2" t="s">
        <v>68</v>
      </c>
      <c r="C88" s="1">
        <v>7</v>
      </c>
      <c r="D88" s="2" t="s">
        <v>69</v>
      </c>
      <c r="E88" s="3">
        <v>1731400110</v>
      </c>
      <c r="F88" s="2" t="s">
        <v>87</v>
      </c>
      <c r="G88" s="17">
        <v>-121000</v>
      </c>
      <c r="H88" s="18">
        <v>-133213.25</v>
      </c>
      <c r="I88" s="17">
        <v>-120000</v>
      </c>
      <c r="J88" s="18">
        <v>-105918.3</v>
      </c>
      <c r="K88" s="17">
        <v>0</v>
      </c>
      <c r="L88" s="18">
        <v>0</v>
      </c>
      <c r="M88" s="17">
        <v>0</v>
      </c>
      <c r="R88" s="47">
        <f t="shared" si="20"/>
        <v>0</v>
      </c>
    </row>
    <row r="89" spans="1:18" ht="15" customHeight="1" outlineLevel="4">
      <c r="A89" s="1">
        <v>20</v>
      </c>
      <c r="B89" s="2" t="s">
        <v>68</v>
      </c>
      <c r="C89" s="1">
        <v>7</v>
      </c>
      <c r="D89" s="2" t="s">
        <v>69</v>
      </c>
      <c r="E89" s="3">
        <v>1731500110</v>
      </c>
      <c r="F89" s="2" t="s">
        <v>88</v>
      </c>
      <c r="G89" s="17">
        <v>0</v>
      </c>
      <c r="H89" s="18">
        <v>0</v>
      </c>
      <c r="I89" s="17">
        <v>-350000</v>
      </c>
      <c r="J89" s="22"/>
      <c r="K89" s="17">
        <v>-100000</v>
      </c>
      <c r="L89" s="18">
        <v>0</v>
      </c>
      <c r="M89" s="17">
        <v>0</v>
      </c>
      <c r="R89" s="47">
        <f t="shared" si="20"/>
        <v>100000</v>
      </c>
    </row>
    <row r="90" spans="1:18" ht="15" customHeight="1" outlineLevel="4">
      <c r="A90" s="1">
        <v>20</v>
      </c>
      <c r="B90" s="2" t="s">
        <v>68</v>
      </c>
      <c r="C90" s="1">
        <v>7</v>
      </c>
      <c r="D90" s="2" t="s">
        <v>69</v>
      </c>
      <c r="E90" s="3">
        <v>1731600110</v>
      </c>
      <c r="F90" s="2" t="s">
        <v>89</v>
      </c>
      <c r="G90" s="17">
        <v>0</v>
      </c>
      <c r="H90" s="18">
        <v>0</v>
      </c>
      <c r="I90" s="17">
        <v>-140000</v>
      </c>
      <c r="J90" s="22"/>
      <c r="K90" s="17">
        <v>-280000</v>
      </c>
      <c r="L90" s="18">
        <v>0</v>
      </c>
      <c r="M90" s="17">
        <f>-160000-140000</f>
        <v>-300000</v>
      </c>
      <c r="Q90" s="41" t="s">
        <v>291</v>
      </c>
      <c r="R90" s="47">
        <f t="shared" si="20"/>
        <v>-20000</v>
      </c>
    </row>
    <row r="91" spans="1:18" ht="15" customHeight="1" outlineLevel="4">
      <c r="A91" s="1">
        <v>20</v>
      </c>
      <c r="B91" s="2" t="s">
        <v>68</v>
      </c>
      <c r="C91" s="1">
        <v>4</v>
      </c>
      <c r="D91" s="2" t="s">
        <v>69</v>
      </c>
      <c r="E91" s="3">
        <v>1741000110</v>
      </c>
      <c r="F91" s="2" t="s">
        <v>90</v>
      </c>
      <c r="G91" s="17">
        <v>-236000</v>
      </c>
      <c r="H91" s="18">
        <v>-246944.05</v>
      </c>
      <c r="I91" s="17">
        <v>-255000</v>
      </c>
      <c r="J91" s="18">
        <v>-229070.53</v>
      </c>
      <c r="K91" s="17">
        <v>-255000</v>
      </c>
      <c r="L91" s="18">
        <v>-195072</v>
      </c>
      <c r="M91" s="17">
        <v>-270000</v>
      </c>
      <c r="Q91" s="42" t="s">
        <v>279</v>
      </c>
      <c r="R91" s="47">
        <f t="shared" si="20"/>
        <v>-15000</v>
      </c>
    </row>
    <row r="92" spans="1:18" ht="15" customHeight="1" outlineLevel="4">
      <c r="A92" s="1">
        <v>20</v>
      </c>
      <c r="B92" s="2" t="s">
        <v>68</v>
      </c>
      <c r="C92" s="1">
        <v>4</v>
      </c>
      <c r="D92" s="2" t="s">
        <v>69</v>
      </c>
      <c r="E92" s="3">
        <v>1741000210</v>
      </c>
      <c r="F92" s="2" t="s">
        <v>91</v>
      </c>
      <c r="G92" s="17">
        <v>-456000</v>
      </c>
      <c r="H92" s="18">
        <v>-358675.71</v>
      </c>
      <c r="I92" s="17">
        <v>-361000</v>
      </c>
      <c r="J92" s="18">
        <v>-378767.66</v>
      </c>
      <c r="K92" s="17">
        <v>-390000</v>
      </c>
      <c r="L92" s="18">
        <v>-335537</v>
      </c>
      <c r="M92" s="17">
        <v>-407000</v>
      </c>
      <c r="R92" s="47">
        <f t="shared" si="20"/>
        <v>-17000</v>
      </c>
    </row>
    <row r="93" spans="1:18" ht="15" customHeight="1" outlineLevel="4">
      <c r="A93" s="1">
        <v>20</v>
      </c>
      <c r="B93" s="2" t="s">
        <v>68</v>
      </c>
      <c r="C93" s="1">
        <v>4</v>
      </c>
      <c r="D93" s="2" t="s">
        <v>69</v>
      </c>
      <c r="E93" s="3">
        <v>1742000110</v>
      </c>
      <c r="F93" s="2" t="s">
        <v>92</v>
      </c>
      <c r="G93" s="17">
        <v>-287000</v>
      </c>
      <c r="H93" s="18">
        <v>-296728.26</v>
      </c>
      <c r="I93" s="17">
        <v>-292000</v>
      </c>
      <c r="J93" s="18">
        <v>-336888.77</v>
      </c>
      <c r="K93" s="17">
        <v>-358000</v>
      </c>
      <c r="L93" s="18">
        <v>-303129</v>
      </c>
      <c r="M93" s="17">
        <v>-360000</v>
      </c>
      <c r="R93" s="47">
        <f t="shared" si="20"/>
        <v>-2000</v>
      </c>
    </row>
    <row r="94" spans="1:18" ht="15" customHeight="1" outlineLevel="4">
      <c r="A94" s="1">
        <v>20</v>
      </c>
      <c r="B94" s="2" t="s">
        <v>68</v>
      </c>
      <c r="C94" s="1">
        <v>5</v>
      </c>
      <c r="D94" s="2" t="s">
        <v>69</v>
      </c>
      <c r="E94" s="3">
        <v>1781000110</v>
      </c>
      <c r="F94" s="2" t="s">
        <v>93</v>
      </c>
      <c r="G94" s="17">
        <v>-170000</v>
      </c>
      <c r="H94" s="18">
        <v>-197705.37</v>
      </c>
      <c r="I94" s="17">
        <v>-196000</v>
      </c>
      <c r="J94" s="18">
        <v>-181698.85</v>
      </c>
      <c r="K94" s="17">
        <v>-206000</v>
      </c>
      <c r="L94" s="18">
        <v>-160954</v>
      </c>
      <c r="M94" s="17">
        <v>-200000</v>
      </c>
      <c r="R94" s="47">
        <f t="shared" si="20"/>
        <v>6000</v>
      </c>
    </row>
    <row r="95" spans="1:18" ht="15" customHeight="1" outlineLevel="4">
      <c r="A95" s="1">
        <v>20</v>
      </c>
      <c r="B95" s="2" t="s">
        <v>68</v>
      </c>
      <c r="C95" s="1">
        <v>5</v>
      </c>
      <c r="D95" s="2" t="s">
        <v>69</v>
      </c>
      <c r="E95" s="3">
        <v>1781000210</v>
      </c>
      <c r="F95" s="2" t="s">
        <v>94</v>
      </c>
      <c r="G95" s="17">
        <v>-287000</v>
      </c>
      <c r="H95" s="18">
        <v>-309882.3</v>
      </c>
      <c r="I95" s="17">
        <v>-287000</v>
      </c>
      <c r="J95" s="18">
        <v>-311541.4</v>
      </c>
      <c r="K95" s="17">
        <v>-390000</v>
      </c>
      <c r="L95" s="18">
        <v>-213590</v>
      </c>
      <c r="M95" s="17">
        <f>-180000-140000</f>
        <v>-320000</v>
      </c>
      <c r="R95" s="47">
        <f t="shared" si="20"/>
        <v>70000</v>
      </c>
    </row>
    <row r="96" spans="1:18" ht="15" customHeight="1" outlineLevel="4">
      <c r="A96" s="1">
        <v>20</v>
      </c>
      <c r="B96" s="2" t="s">
        <v>68</v>
      </c>
      <c r="C96" s="1">
        <v>3</v>
      </c>
      <c r="D96" s="2" t="s">
        <v>69</v>
      </c>
      <c r="E96" s="3">
        <v>1823100110</v>
      </c>
      <c r="F96" s="2" t="s">
        <v>95</v>
      </c>
      <c r="G96" s="17">
        <v>-100000</v>
      </c>
      <c r="H96" s="18">
        <v>-100514.23</v>
      </c>
      <c r="I96" s="17">
        <v>-100000</v>
      </c>
      <c r="J96" s="18">
        <v>-104112.48</v>
      </c>
      <c r="K96" s="17">
        <v>-125000</v>
      </c>
      <c r="L96" s="18">
        <v>-89119</v>
      </c>
      <c r="M96" s="17">
        <v>-125000</v>
      </c>
      <c r="R96" s="47">
        <f t="shared" si="20"/>
        <v>0</v>
      </c>
    </row>
    <row r="97" spans="1:18" ht="15" customHeight="1" outlineLevel="4">
      <c r="A97" s="1">
        <v>20</v>
      </c>
      <c r="B97" s="2" t="s">
        <v>68</v>
      </c>
      <c r="C97" s="1">
        <v>3</v>
      </c>
      <c r="D97" s="2" t="s">
        <v>69</v>
      </c>
      <c r="E97" s="3">
        <v>1824100110</v>
      </c>
      <c r="F97" s="2" t="s">
        <v>96</v>
      </c>
      <c r="G97" s="17">
        <v>-220000</v>
      </c>
      <c r="H97" s="18">
        <v>-254003.98</v>
      </c>
      <c r="I97" s="17">
        <v>-250000</v>
      </c>
      <c r="J97" s="18">
        <v>-269708.51</v>
      </c>
      <c r="K97" s="17">
        <v>-257000</v>
      </c>
      <c r="L97" s="18">
        <v>-269787</v>
      </c>
      <c r="M97" s="17">
        <f>-190000-132000</f>
        <v>-322000</v>
      </c>
      <c r="Q97" s="47"/>
      <c r="R97" s="47">
        <f t="shared" si="20"/>
        <v>-65000</v>
      </c>
    </row>
    <row r="98" spans="1:18" ht="15" customHeight="1" outlineLevel="4">
      <c r="A98" s="1">
        <v>20</v>
      </c>
      <c r="B98" s="2" t="s">
        <v>68</v>
      </c>
      <c r="C98" s="1">
        <v>3</v>
      </c>
      <c r="D98" s="2" t="s">
        <v>69</v>
      </c>
      <c r="E98" s="3">
        <v>1824200110</v>
      </c>
      <c r="F98" s="2" t="s">
        <v>97</v>
      </c>
      <c r="G98" s="17">
        <v>-150000</v>
      </c>
      <c r="H98" s="18">
        <v>-145992.69</v>
      </c>
      <c r="I98" s="17">
        <v>-138000</v>
      </c>
      <c r="J98" s="18">
        <v>-143573.48</v>
      </c>
      <c r="K98" s="17">
        <v>-125000</v>
      </c>
      <c r="L98" s="18">
        <v>-86184</v>
      </c>
      <c r="M98" s="17">
        <v>-106000</v>
      </c>
      <c r="R98" s="47">
        <f t="shared" si="20"/>
        <v>19000</v>
      </c>
    </row>
    <row r="99" spans="1:18" ht="15" customHeight="1" outlineLevel="4">
      <c r="A99" s="1">
        <v>20</v>
      </c>
      <c r="B99" s="2" t="s">
        <v>68</v>
      </c>
      <c r="C99" s="1">
        <v>3</v>
      </c>
      <c r="D99" s="2" t="s">
        <v>69</v>
      </c>
      <c r="E99" s="3">
        <v>1825400110</v>
      </c>
      <c r="F99" s="2" t="s">
        <v>98</v>
      </c>
      <c r="G99" s="17">
        <v>-80000</v>
      </c>
      <c r="H99" s="18">
        <v>-78448.55</v>
      </c>
      <c r="I99" s="17">
        <v>-83000</v>
      </c>
      <c r="J99" s="18">
        <v>-79189.7</v>
      </c>
      <c r="K99" s="17">
        <v>-7000</v>
      </c>
      <c r="L99" s="18">
        <v>-69052</v>
      </c>
      <c r="M99" s="17">
        <v>-81000</v>
      </c>
      <c r="Q99" s="47"/>
      <c r="R99" s="47">
        <f t="shared" si="20"/>
        <v>-74000</v>
      </c>
    </row>
    <row r="100" spans="1:18" ht="15" customHeight="1" outlineLevel="4">
      <c r="A100" s="1">
        <v>20</v>
      </c>
      <c r="B100" s="2" t="s">
        <v>68</v>
      </c>
      <c r="C100" s="1">
        <v>3</v>
      </c>
      <c r="D100" s="2" t="s">
        <v>69</v>
      </c>
      <c r="E100" s="3">
        <v>1826400110</v>
      </c>
      <c r="F100" s="2" t="s">
        <v>99</v>
      </c>
      <c r="G100" s="17">
        <v>-240000</v>
      </c>
      <c r="H100" s="18">
        <v>-230952.94</v>
      </c>
      <c r="I100" s="17">
        <v>-232000</v>
      </c>
      <c r="J100" s="18">
        <v>-202989.5</v>
      </c>
      <c r="K100" s="17">
        <v>-210000</v>
      </c>
      <c r="L100" s="18">
        <v>-191662</v>
      </c>
      <c r="M100" s="17">
        <v>-235000</v>
      </c>
      <c r="Q100" s="47"/>
      <c r="R100" s="47">
        <f t="shared" si="20"/>
        <v>-25000</v>
      </c>
    </row>
    <row r="101" spans="1:18" ht="15" customHeight="1" outlineLevel="4">
      <c r="A101" s="1">
        <v>20</v>
      </c>
      <c r="B101" s="2" t="s">
        <v>68</v>
      </c>
      <c r="C101" s="1">
        <v>3</v>
      </c>
      <c r="D101" s="2" t="s">
        <v>69</v>
      </c>
      <c r="E101" s="3">
        <v>1826400210</v>
      </c>
      <c r="F101" s="2" t="s">
        <v>100</v>
      </c>
      <c r="G101" s="17">
        <v>-295000</v>
      </c>
      <c r="H101" s="18">
        <v>-222537.92</v>
      </c>
      <c r="I101" s="17">
        <v>-270000</v>
      </c>
      <c r="J101" s="18">
        <v>-243419.36</v>
      </c>
      <c r="K101" s="17">
        <v>-235000</v>
      </c>
      <c r="L101" s="18">
        <v>-216358</v>
      </c>
      <c r="M101" s="17">
        <v>-240000</v>
      </c>
      <c r="Q101" s="47"/>
      <c r="R101" s="47">
        <f t="shared" si="20"/>
        <v>-5000</v>
      </c>
    </row>
    <row r="102" spans="1:18" ht="15" customHeight="1" outlineLevel="4">
      <c r="A102" s="1">
        <v>20</v>
      </c>
      <c r="B102" s="2" t="s">
        <v>68</v>
      </c>
      <c r="C102" s="1">
        <v>3</v>
      </c>
      <c r="D102" s="2" t="s">
        <v>69</v>
      </c>
      <c r="E102" s="3">
        <v>1826410110</v>
      </c>
      <c r="F102" s="2" t="s">
        <v>101</v>
      </c>
      <c r="G102" s="17">
        <v>-180000</v>
      </c>
      <c r="H102" s="18">
        <v>-201368.5</v>
      </c>
      <c r="I102" s="17">
        <v>-195000</v>
      </c>
      <c r="J102" s="18">
        <v>-200317.06</v>
      </c>
      <c r="K102" s="17">
        <v>-195000</v>
      </c>
      <c r="L102" s="18">
        <v>-175644</v>
      </c>
      <c r="M102" s="17">
        <v>-210000</v>
      </c>
      <c r="Q102" s="47"/>
      <c r="R102" s="47">
        <f t="shared" si="20"/>
        <v>-15000</v>
      </c>
    </row>
    <row r="103" spans="1:19" ht="15" customHeight="1" outlineLevel="4">
      <c r="A103" s="1">
        <v>20</v>
      </c>
      <c r="B103" s="2" t="s">
        <v>68</v>
      </c>
      <c r="C103" s="1">
        <v>1</v>
      </c>
      <c r="D103" s="2" t="s">
        <v>69</v>
      </c>
      <c r="E103" s="3">
        <v>1991000310</v>
      </c>
      <c r="F103" s="2" t="s">
        <v>102</v>
      </c>
      <c r="G103" s="17">
        <v>-1300000</v>
      </c>
      <c r="H103" s="18">
        <v>-1287267.76</v>
      </c>
      <c r="I103" s="17">
        <v>-1355000</v>
      </c>
      <c r="J103" s="18">
        <v>-1287684.46</v>
      </c>
      <c r="K103" s="17">
        <v>-1270000</v>
      </c>
      <c r="L103" s="18">
        <v>-1095574</v>
      </c>
      <c r="M103" s="17">
        <v>-1290000</v>
      </c>
      <c r="R103" s="47">
        <f t="shared" si="20"/>
        <v>-20000</v>
      </c>
      <c r="S103">
        <f>SUBTOTAL(9,R73:R104)</f>
        <v>-624000</v>
      </c>
    </row>
    <row r="104" spans="1:18" ht="15" customHeight="1" outlineLevel="4">
      <c r="A104" s="1">
        <v>20</v>
      </c>
      <c r="B104" s="2" t="s">
        <v>68</v>
      </c>
      <c r="C104" s="1">
        <v>1</v>
      </c>
      <c r="D104" s="2" t="s">
        <v>69</v>
      </c>
      <c r="E104" s="3">
        <v>1991000311</v>
      </c>
      <c r="F104" s="2" t="s">
        <v>103</v>
      </c>
      <c r="G104" s="17">
        <v>-1000</v>
      </c>
      <c r="H104" s="18">
        <v>-1109</v>
      </c>
      <c r="I104" s="17">
        <v>-1000</v>
      </c>
      <c r="J104" s="18">
        <v>-1109</v>
      </c>
      <c r="K104" s="17">
        <v>-1000</v>
      </c>
      <c r="L104" s="18">
        <v>-845</v>
      </c>
      <c r="M104" s="17">
        <v>-1000</v>
      </c>
      <c r="R104" s="47">
        <f t="shared" si="20"/>
        <v>0</v>
      </c>
    </row>
    <row r="105" spans="1:18" s="7" customFormat="1" ht="15" customHeight="1" outlineLevel="3">
      <c r="A105" s="11"/>
      <c r="B105" s="9"/>
      <c r="C105" s="11"/>
      <c r="D105" s="9"/>
      <c r="E105" s="10"/>
      <c r="F105" s="9"/>
      <c r="G105" s="19">
        <f aca="true" t="shared" si="21" ref="G105:M105">SUBTOTAL(9,G69:G104)</f>
        <v>-6637000</v>
      </c>
      <c r="H105" s="20">
        <f t="shared" si="21"/>
        <v>-6405928.43</v>
      </c>
      <c r="I105" s="19">
        <f t="shared" si="21"/>
        <v>-7074000</v>
      </c>
      <c r="J105" s="20">
        <f t="shared" si="21"/>
        <v>-6559398.470000001</v>
      </c>
      <c r="K105" s="19">
        <f t="shared" si="21"/>
        <v>-6889000</v>
      </c>
      <c r="L105" s="20">
        <f t="shared" si="21"/>
        <v>-5765464</v>
      </c>
      <c r="M105" s="19">
        <f t="shared" si="21"/>
        <v>-7496000</v>
      </c>
      <c r="R105" s="19">
        <f>SUBTOTAL(9,R69:R104)</f>
        <v>-607000</v>
      </c>
    </row>
    <row r="106" spans="1:18" ht="15" customHeight="1" outlineLevel="4">
      <c r="A106" s="1">
        <v>20</v>
      </c>
      <c r="B106" s="2" t="s">
        <v>68</v>
      </c>
      <c r="C106" s="1">
        <v>1</v>
      </c>
      <c r="D106" s="2" t="s">
        <v>69</v>
      </c>
      <c r="E106" s="3">
        <v>1612000750</v>
      </c>
      <c r="F106" s="2" t="s">
        <v>104</v>
      </c>
      <c r="G106" s="17">
        <v>-50000</v>
      </c>
      <c r="H106" s="18">
        <v>-49179.35</v>
      </c>
      <c r="I106" s="17">
        <v>-50000</v>
      </c>
      <c r="J106" s="18">
        <v>-48935.4</v>
      </c>
      <c r="K106" s="17">
        <v>-50000</v>
      </c>
      <c r="L106" s="18">
        <v>-40780</v>
      </c>
      <c r="M106" s="17">
        <f>-'[3]ריכוז רכש'!$H$21*1000</f>
        <v>-52000</v>
      </c>
      <c r="R106" s="47">
        <f aca="true" t="shared" si="22" ref="R106:R170">M106-K106</f>
        <v>-2000</v>
      </c>
    </row>
    <row r="107" spans="1:18" ht="15" customHeight="1" outlineLevel="4">
      <c r="A107" s="1">
        <v>20</v>
      </c>
      <c r="B107" s="2" t="s">
        <v>68</v>
      </c>
      <c r="C107" s="1">
        <v>1</v>
      </c>
      <c r="D107" s="2" t="s">
        <v>69</v>
      </c>
      <c r="E107" s="3">
        <v>1613100430</v>
      </c>
      <c r="F107" s="2" t="s">
        <v>105</v>
      </c>
      <c r="G107" s="17">
        <v>-9000</v>
      </c>
      <c r="H107" s="18">
        <v>-8416.45</v>
      </c>
      <c r="I107" s="17">
        <v>-9000</v>
      </c>
      <c r="J107" s="18">
        <v>-8547.53</v>
      </c>
      <c r="K107" s="17">
        <v>-10000</v>
      </c>
      <c r="L107" s="18">
        <v>-6456</v>
      </c>
      <c r="M107" s="17">
        <v>-10000</v>
      </c>
      <c r="R107" s="47">
        <f t="shared" si="22"/>
        <v>0</v>
      </c>
    </row>
    <row r="108" spans="1:18" ht="15" customHeight="1" outlineLevel="4">
      <c r="A108" s="1">
        <v>20</v>
      </c>
      <c r="B108" s="2" t="s">
        <v>68</v>
      </c>
      <c r="C108" s="1">
        <v>1</v>
      </c>
      <c r="D108" s="2" t="s">
        <v>69</v>
      </c>
      <c r="E108" s="3">
        <v>1613100471</v>
      </c>
      <c r="F108" s="2" t="s">
        <v>106</v>
      </c>
      <c r="G108" s="17">
        <v>-10000</v>
      </c>
      <c r="H108" s="18">
        <v>-5018.28</v>
      </c>
      <c r="I108" s="17">
        <v>-10000</v>
      </c>
      <c r="J108" s="18">
        <v>-778</v>
      </c>
      <c r="K108" s="17">
        <v>0</v>
      </c>
      <c r="L108" s="18">
        <v>0</v>
      </c>
      <c r="M108" s="17">
        <v>0</v>
      </c>
      <c r="R108" s="47">
        <f t="shared" si="22"/>
        <v>0</v>
      </c>
    </row>
    <row r="109" spans="1:18" ht="15" customHeight="1" outlineLevel="4">
      <c r="A109" s="1">
        <v>20</v>
      </c>
      <c r="B109" s="2" t="s">
        <v>68</v>
      </c>
      <c r="C109" s="1">
        <v>1</v>
      </c>
      <c r="D109" s="2" t="s">
        <v>69</v>
      </c>
      <c r="E109" s="3">
        <v>1613100472</v>
      </c>
      <c r="F109" s="2" t="s">
        <v>107</v>
      </c>
      <c r="G109" s="17">
        <v>-12000</v>
      </c>
      <c r="H109" s="18">
        <v>-11622.16</v>
      </c>
      <c r="I109" s="17">
        <v>-12000</v>
      </c>
      <c r="J109" s="18">
        <v>-2589.6</v>
      </c>
      <c r="K109" s="17">
        <v>-12000</v>
      </c>
      <c r="L109" s="18">
        <v>-5137</v>
      </c>
      <c r="M109" s="17">
        <f>-'[1]סיכומים'!$E$14</f>
        <v>-12000</v>
      </c>
      <c r="R109" s="47">
        <f t="shared" si="22"/>
        <v>0</v>
      </c>
    </row>
    <row r="110" spans="1:18" ht="15" customHeight="1" outlineLevel="4">
      <c r="A110" s="1">
        <v>20</v>
      </c>
      <c r="B110" s="2" t="s">
        <v>68</v>
      </c>
      <c r="C110" s="1">
        <v>1</v>
      </c>
      <c r="D110" s="2" t="s">
        <v>69</v>
      </c>
      <c r="E110" s="3">
        <v>1613100510</v>
      </c>
      <c r="F110" s="2" t="s">
        <v>108</v>
      </c>
      <c r="G110" s="17">
        <v>-50000</v>
      </c>
      <c r="H110" s="18">
        <v>-43381.79</v>
      </c>
      <c r="I110" s="17">
        <v>-60000</v>
      </c>
      <c r="J110" s="18">
        <v>-32246.33</v>
      </c>
      <c r="K110" s="17">
        <v>-60000</v>
      </c>
      <c r="L110" s="18">
        <v>-45491</v>
      </c>
      <c r="M110" s="17">
        <f>-'[1]סיכומים'!$E$13</f>
        <v>-60000</v>
      </c>
      <c r="R110" s="47">
        <f t="shared" si="22"/>
        <v>0</v>
      </c>
    </row>
    <row r="111" spans="1:18" ht="15" customHeight="1" outlineLevel="4">
      <c r="A111" s="1">
        <v>20</v>
      </c>
      <c r="B111" s="2" t="s">
        <v>68</v>
      </c>
      <c r="C111" s="1">
        <v>1</v>
      </c>
      <c r="D111" s="2" t="s">
        <v>69</v>
      </c>
      <c r="E111" s="3">
        <v>1613100521</v>
      </c>
      <c r="F111" s="2" t="s">
        <v>109</v>
      </c>
      <c r="G111" s="17">
        <v>-150000</v>
      </c>
      <c r="H111" s="18">
        <v>-289346.15</v>
      </c>
      <c r="I111" s="17">
        <v>-250000</v>
      </c>
      <c r="J111" s="18">
        <v>-228519.31</v>
      </c>
      <c r="K111" s="17">
        <v>-250000</v>
      </c>
      <c r="L111" s="18">
        <v>-189871</v>
      </c>
      <c r="M111" s="17">
        <v>-250000</v>
      </c>
      <c r="R111" s="47">
        <f t="shared" si="22"/>
        <v>0</v>
      </c>
    </row>
    <row r="112" spans="1:18" ht="15" customHeight="1" outlineLevel="4">
      <c r="A112" s="1">
        <v>20</v>
      </c>
      <c r="B112" s="2" t="s">
        <v>68</v>
      </c>
      <c r="C112" s="1">
        <v>1</v>
      </c>
      <c r="D112" s="2" t="s">
        <v>69</v>
      </c>
      <c r="E112" s="3">
        <v>1613100522</v>
      </c>
      <c r="F112" s="2" t="s">
        <v>110</v>
      </c>
      <c r="G112" s="17">
        <v>-40000</v>
      </c>
      <c r="H112" s="18">
        <v>-44008.54</v>
      </c>
      <c r="I112" s="17">
        <v>-40000</v>
      </c>
      <c r="J112" s="18">
        <v>-59141.85</v>
      </c>
      <c r="K112" s="17">
        <v>-40000</v>
      </c>
      <c r="L112" s="18">
        <v>-33703</v>
      </c>
      <c r="M112" s="17">
        <v>-40000</v>
      </c>
      <c r="R112" s="47">
        <f t="shared" si="22"/>
        <v>0</v>
      </c>
    </row>
    <row r="113" spans="1:18" ht="15" customHeight="1" outlineLevel="4">
      <c r="A113" s="1">
        <v>20</v>
      </c>
      <c r="B113" s="2" t="s">
        <v>68</v>
      </c>
      <c r="C113" s="1">
        <v>1</v>
      </c>
      <c r="D113" s="2" t="s">
        <v>69</v>
      </c>
      <c r="E113" s="3">
        <v>1613100523</v>
      </c>
      <c r="F113" s="2" t="s">
        <v>111</v>
      </c>
      <c r="G113" s="17">
        <v>-8000</v>
      </c>
      <c r="H113" s="18">
        <v>-6780.32</v>
      </c>
      <c r="I113" s="17">
        <v>-8000</v>
      </c>
      <c r="J113" s="18">
        <v>-6647.1</v>
      </c>
      <c r="K113" s="17">
        <v>-8000</v>
      </c>
      <c r="L113" s="18">
        <v>-1831</v>
      </c>
      <c r="M113" s="17">
        <v>-8000</v>
      </c>
      <c r="R113" s="47">
        <f t="shared" si="22"/>
        <v>0</v>
      </c>
    </row>
    <row r="114" spans="1:18" ht="15" customHeight="1" outlineLevel="4">
      <c r="A114" s="1">
        <v>20</v>
      </c>
      <c r="B114" s="2" t="s">
        <v>68</v>
      </c>
      <c r="C114" s="1">
        <v>1</v>
      </c>
      <c r="D114" s="2" t="s">
        <v>69</v>
      </c>
      <c r="E114" s="3">
        <v>1613100540</v>
      </c>
      <c r="F114" s="2" t="s">
        <v>112</v>
      </c>
      <c r="G114" s="17">
        <v>-130000</v>
      </c>
      <c r="H114" s="18">
        <v>-107698.11</v>
      </c>
      <c r="I114" s="17">
        <v>-139000</v>
      </c>
      <c r="J114" s="18">
        <v>-140489.9</v>
      </c>
      <c r="K114" s="17">
        <v>-139000</v>
      </c>
      <c r="L114" s="18">
        <v>-82510</v>
      </c>
      <c r="M114" s="17">
        <v>-140000</v>
      </c>
      <c r="R114" s="47">
        <f t="shared" si="22"/>
        <v>-1000</v>
      </c>
    </row>
    <row r="115" spans="1:18" ht="15" customHeight="1" outlineLevel="4">
      <c r="A115" s="1">
        <v>20</v>
      </c>
      <c r="B115" s="2" t="s">
        <v>68</v>
      </c>
      <c r="C115" s="1">
        <v>1</v>
      </c>
      <c r="D115" s="2" t="s">
        <v>69</v>
      </c>
      <c r="E115" s="3">
        <v>1613100542</v>
      </c>
      <c r="F115" s="2" t="s">
        <v>113</v>
      </c>
      <c r="G115" s="17">
        <v>-100000</v>
      </c>
      <c r="H115" s="18">
        <v>-145512.75</v>
      </c>
      <c r="I115" s="17">
        <v>-75000</v>
      </c>
      <c r="J115" s="18">
        <v>-117173.35</v>
      </c>
      <c r="K115" s="17">
        <v>-75000</v>
      </c>
      <c r="L115" s="18">
        <v>-47029</v>
      </c>
      <c r="M115" s="17">
        <f>-'[3]ריכוז רכש'!$H$23*1000</f>
        <v>-75000</v>
      </c>
      <c r="R115" s="47">
        <f t="shared" si="22"/>
        <v>0</v>
      </c>
    </row>
    <row r="116" spans="1:18" ht="15" customHeight="1" outlineLevel="4">
      <c r="A116" s="1">
        <v>20</v>
      </c>
      <c r="B116" s="2" t="s">
        <v>68</v>
      </c>
      <c r="C116" s="1">
        <v>1</v>
      </c>
      <c r="D116" s="2" t="s">
        <v>69</v>
      </c>
      <c r="E116" s="3">
        <v>1613100560</v>
      </c>
      <c r="F116" s="2" t="s">
        <v>114</v>
      </c>
      <c r="G116" s="17">
        <v>-65000</v>
      </c>
      <c r="H116" s="18">
        <v>-58925.46</v>
      </c>
      <c r="I116" s="17">
        <v>-50000</v>
      </c>
      <c r="J116" s="18">
        <v>-50878.43</v>
      </c>
      <c r="K116" s="17">
        <v>-65000</v>
      </c>
      <c r="L116" s="18">
        <v>-26812</v>
      </c>
      <c r="M116" s="17">
        <f>-'[1]סיכומים'!$E$15</f>
        <v>-65000</v>
      </c>
      <c r="R116" s="47">
        <f t="shared" si="22"/>
        <v>0</v>
      </c>
    </row>
    <row r="117" spans="1:18" ht="15" customHeight="1" outlineLevel="4">
      <c r="A117" s="1">
        <v>20</v>
      </c>
      <c r="B117" s="2" t="s">
        <v>68</v>
      </c>
      <c r="C117" s="1">
        <v>7</v>
      </c>
      <c r="D117" s="2" t="s">
        <v>69</v>
      </c>
      <c r="E117" s="3">
        <v>1613100750</v>
      </c>
      <c r="F117" s="26" t="s">
        <v>139</v>
      </c>
      <c r="G117" s="17">
        <v>0</v>
      </c>
      <c r="H117" s="18">
        <v>0</v>
      </c>
      <c r="I117" s="17">
        <v>0</v>
      </c>
      <c r="J117" s="18">
        <v>0</v>
      </c>
      <c r="K117" s="17">
        <v>0</v>
      </c>
      <c r="L117" s="18">
        <v>-10020</v>
      </c>
      <c r="M117" s="17">
        <v>-200000</v>
      </c>
      <c r="Q117" t="s">
        <v>262</v>
      </c>
      <c r="R117" s="47">
        <f t="shared" si="22"/>
        <v>-200000</v>
      </c>
    </row>
    <row r="118" spans="1:18" ht="15" customHeight="1" outlineLevel="4">
      <c r="A118" s="1">
        <v>20</v>
      </c>
      <c r="B118" s="2" t="s">
        <v>68</v>
      </c>
      <c r="C118" s="1">
        <v>1</v>
      </c>
      <c r="D118" s="2" t="s">
        <v>69</v>
      </c>
      <c r="E118" s="3">
        <v>1613200560</v>
      </c>
      <c r="F118" s="2" t="s">
        <v>115</v>
      </c>
      <c r="G118" s="17">
        <v>-70000</v>
      </c>
      <c r="H118" s="18">
        <v>-144383.67</v>
      </c>
      <c r="I118" s="17">
        <v>-70000</v>
      </c>
      <c r="J118" s="18">
        <v>-50453.05</v>
      </c>
      <c r="K118" s="17">
        <v>-70000</v>
      </c>
      <c r="L118" s="18">
        <v>-73829</v>
      </c>
      <c r="M118" s="17">
        <v>-70000</v>
      </c>
      <c r="R118" s="47">
        <f t="shared" si="22"/>
        <v>0</v>
      </c>
    </row>
    <row r="119" spans="1:18" ht="15" customHeight="1" outlineLevel="4">
      <c r="A119" s="1">
        <v>20</v>
      </c>
      <c r="B119" s="2" t="s">
        <v>68</v>
      </c>
      <c r="C119" s="1">
        <v>1</v>
      </c>
      <c r="D119" s="2" t="s">
        <v>69</v>
      </c>
      <c r="E119" s="3">
        <v>1614000750</v>
      </c>
      <c r="F119" s="2" t="s">
        <v>116</v>
      </c>
      <c r="G119" s="17">
        <v>-47000</v>
      </c>
      <c r="H119" s="18">
        <v>-5239</v>
      </c>
      <c r="I119" s="17">
        <v>-47000</v>
      </c>
      <c r="J119" s="18">
        <v>-19188</v>
      </c>
      <c r="K119" s="17">
        <v>-20000</v>
      </c>
      <c r="L119" s="18">
        <v>-9221</v>
      </c>
      <c r="M119" s="46"/>
      <c r="R119" s="47">
        <f t="shared" si="22"/>
        <v>20000</v>
      </c>
    </row>
    <row r="120" spans="1:18" ht="15" customHeight="1" outlineLevel="4">
      <c r="A120" s="1">
        <v>20</v>
      </c>
      <c r="B120" s="2" t="s">
        <v>68</v>
      </c>
      <c r="C120" s="1">
        <v>1</v>
      </c>
      <c r="D120" s="2" t="s">
        <v>69</v>
      </c>
      <c r="E120" s="3">
        <v>1614000751</v>
      </c>
      <c r="F120" s="2" t="s">
        <v>117</v>
      </c>
      <c r="G120" s="17">
        <v>0</v>
      </c>
      <c r="H120" s="18">
        <v>0</v>
      </c>
      <c r="I120" s="17">
        <v>0</v>
      </c>
      <c r="J120" s="22"/>
      <c r="K120" s="17">
        <v>-25000</v>
      </c>
      <c r="L120" s="18">
        <v>0</v>
      </c>
      <c r="M120" s="17">
        <v>0</v>
      </c>
      <c r="R120" s="47">
        <f t="shared" si="22"/>
        <v>25000</v>
      </c>
    </row>
    <row r="121" spans="1:18" ht="15" customHeight="1" outlineLevel="4">
      <c r="A121" s="1">
        <v>20</v>
      </c>
      <c r="B121" s="2" t="s">
        <v>68</v>
      </c>
      <c r="C121" s="1">
        <v>1</v>
      </c>
      <c r="D121" s="2" t="s">
        <v>69</v>
      </c>
      <c r="E121" s="3">
        <v>1614000780</v>
      </c>
      <c r="F121" s="2" t="s">
        <v>118</v>
      </c>
      <c r="G121" s="17">
        <v>-20000</v>
      </c>
      <c r="H121" s="18">
        <v>-10822.5</v>
      </c>
      <c r="I121" s="17">
        <v>-20000</v>
      </c>
      <c r="J121" s="18">
        <v>-7997.02</v>
      </c>
      <c r="K121" s="17">
        <v>-20000</v>
      </c>
      <c r="L121" s="18">
        <v>-9797</v>
      </c>
      <c r="M121" s="17">
        <v>-20000</v>
      </c>
      <c r="R121" s="47">
        <f t="shared" si="22"/>
        <v>0</v>
      </c>
    </row>
    <row r="122" spans="1:18" ht="15" customHeight="1" outlineLevel="4">
      <c r="A122" s="1">
        <v>20</v>
      </c>
      <c r="B122" s="2" t="s">
        <v>68</v>
      </c>
      <c r="C122" s="1">
        <v>1</v>
      </c>
      <c r="D122" s="2" t="s">
        <v>69</v>
      </c>
      <c r="E122" s="3">
        <v>1614000781</v>
      </c>
      <c r="F122" s="2" t="s">
        <v>119</v>
      </c>
      <c r="G122" s="17">
        <v>-26000</v>
      </c>
      <c r="H122" s="18">
        <v>-9015</v>
      </c>
      <c r="I122" s="17">
        <v>-26000</v>
      </c>
      <c r="J122" s="22"/>
      <c r="K122" s="17">
        <v>-20000</v>
      </c>
      <c r="L122" s="18">
        <v>0</v>
      </c>
      <c r="M122" s="17">
        <v>-20000</v>
      </c>
      <c r="R122" s="47">
        <f t="shared" si="22"/>
        <v>0</v>
      </c>
    </row>
    <row r="123" spans="1:18" ht="15" customHeight="1" outlineLevel="4">
      <c r="A123" s="1">
        <v>20</v>
      </c>
      <c r="B123" s="2" t="s">
        <v>68</v>
      </c>
      <c r="C123" s="1">
        <v>1</v>
      </c>
      <c r="D123" s="2" t="s">
        <v>69</v>
      </c>
      <c r="E123" s="3">
        <v>1614100750</v>
      </c>
      <c r="F123" s="2" t="s">
        <v>120</v>
      </c>
      <c r="G123" s="17">
        <v>-60000</v>
      </c>
      <c r="H123" s="18">
        <v>-87135</v>
      </c>
      <c r="I123" s="17">
        <v>-100000</v>
      </c>
      <c r="J123" s="18">
        <v>-14043</v>
      </c>
      <c r="K123" s="17">
        <v>-60000</v>
      </c>
      <c r="L123" s="18">
        <v>0</v>
      </c>
      <c r="M123" s="17">
        <v>-60000</v>
      </c>
      <c r="R123" s="47">
        <f t="shared" si="22"/>
        <v>0</v>
      </c>
    </row>
    <row r="124" spans="1:18" ht="15" customHeight="1" outlineLevel="4">
      <c r="A124" s="1">
        <v>20</v>
      </c>
      <c r="B124" s="2" t="s">
        <v>68</v>
      </c>
      <c r="C124" s="1">
        <v>1</v>
      </c>
      <c r="D124" s="2" t="s">
        <v>69</v>
      </c>
      <c r="E124" s="3">
        <v>1617000750</v>
      </c>
      <c r="F124" s="2" t="s">
        <v>121</v>
      </c>
      <c r="G124" s="17">
        <v>-190000</v>
      </c>
      <c r="H124" s="18">
        <v>-4081</v>
      </c>
      <c r="I124" s="17">
        <v>-190000</v>
      </c>
      <c r="J124" s="18">
        <v>-150000</v>
      </c>
      <c r="K124" s="17">
        <v>-190000</v>
      </c>
      <c r="L124" s="18">
        <v>-307970</v>
      </c>
      <c r="M124" s="17">
        <v>-190000</v>
      </c>
      <c r="R124" s="47">
        <f t="shared" si="22"/>
        <v>0</v>
      </c>
    </row>
    <row r="125" spans="1:18" ht="15" customHeight="1" outlineLevel="4">
      <c r="A125" s="1">
        <v>20</v>
      </c>
      <c r="B125" s="2" t="s">
        <v>68</v>
      </c>
      <c r="C125" s="1">
        <v>1</v>
      </c>
      <c r="D125" s="2" t="s">
        <v>69</v>
      </c>
      <c r="E125" s="3">
        <v>1619000780</v>
      </c>
      <c r="F125" s="25" t="s">
        <v>251</v>
      </c>
      <c r="G125" s="17">
        <v>0</v>
      </c>
      <c r="H125" s="18">
        <v>0</v>
      </c>
      <c r="I125" s="17">
        <v>0</v>
      </c>
      <c r="J125" s="18">
        <v>0</v>
      </c>
      <c r="K125" s="17">
        <v>0</v>
      </c>
      <c r="L125" s="18">
        <v>0</v>
      </c>
      <c r="M125" s="17">
        <v>-30000</v>
      </c>
      <c r="R125" s="47">
        <f t="shared" si="22"/>
        <v>-30000</v>
      </c>
    </row>
    <row r="126" spans="1:18" ht="15" customHeight="1" outlineLevel="4">
      <c r="A126" s="1">
        <v>20</v>
      </c>
      <c r="B126" s="2" t="s">
        <v>68</v>
      </c>
      <c r="C126" s="1">
        <v>1</v>
      </c>
      <c r="D126" s="2" t="s">
        <v>69</v>
      </c>
      <c r="E126" s="3">
        <v>1621000530</v>
      </c>
      <c r="F126" s="2" t="s">
        <v>122</v>
      </c>
      <c r="G126" s="17">
        <v>-75000</v>
      </c>
      <c r="H126" s="18">
        <v>-59294.55</v>
      </c>
      <c r="I126" s="17">
        <v>-75000</v>
      </c>
      <c r="J126" s="18">
        <v>-61715.03</v>
      </c>
      <c r="K126" s="17">
        <v>-75000</v>
      </c>
      <c r="L126" s="18">
        <v>-52398</v>
      </c>
      <c r="M126" s="17">
        <v>-70000</v>
      </c>
      <c r="Q126" s="45" t="s">
        <v>282</v>
      </c>
      <c r="R126" s="47">
        <f t="shared" si="22"/>
        <v>5000</v>
      </c>
    </row>
    <row r="127" spans="1:18" ht="15" customHeight="1" outlineLevel="4">
      <c r="A127" s="1">
        <v>20</v>
      </c>
      <c r="B127" s="2" t="s">
        <v>68</v>
      </c>
      <c r="C127" s="1">
        <v>1</v>
      </c>
      <c r="D127" s="2" t="s">
        <v>69</v>
      </c>
      <c r="E127" s="3">
        <v>1621100750</v>
      </c>
      <c r="F127" s="2" t="s">
        <v>123</v>
      </c>
      <c r="G127" s="17">
        <v>-180000</v>
      </c>
      <c r="H127" s="18">
        <v>0</v>
      </c>
      <c r="I127" s="17">
        <v>-175000</v>
      </c>
      <c r="J127" s="18">
        <v>-203370.51</v>
      </c>
      <c r="K127" s="17">
        <v>-200000</v>
      </c>
      <c r="L127" s="18">
        <v>-167796</v>
      </c>
      <c r="M127" s="17">
        <f>-'[3]ריכוז רכש'!$H$24*1000</f>
        <v>-200000</v>
      </c>
      <c r="R127" s="47">
        <f t="shared" si="22"/>
        <v>0</v>
      </c>
    </row>
    <row r="128" spans="1:18" ht="15" customHeight="1" outlineLevel="4">
      <c r="A128" s="1">
        <v>20</v>
      </c>
      <c r="B128" s="2" t="s">
        <v>68</v>
      </c>
      <c r="C128" s="1">
        <v>1</v>
      </c>
      <c r="D128" s="2" t="s">
        <v>69</v>
      </c>
      <c r="E128" s="3">
        <v>1621200750</v>
      </c>
      <c r="F128" s="2" t="s">
        <v>124</v>
      </c>
      <c r="G128" s="17">
        <v>-50000</v>
      </c>
      <c r="H128" s="18">
        <v>-49319.82</v>
      </c>
      <c r="I128" s="17">
        <v>-50000</v>
      </c>
      <c r="J128" s="18">
        <v>-48424.19</v>
      </c>
      <c r="K128" s="17">
        <v>-6000</v>
      </c>
      <c r="L128" s="18">
        <v>-3969</v>
      </c>
      <c r="M128" s="17">
        <v>-6000</v>
      </c>
      <c r="R128" s="47">
        <f t="shared" si="22"/>
        <v>0</v>
      </c>
    </row>
    <row r="129" spans="1:18" ht="15" customHeight="1" outlineLevel="4">
      <c r="A129" s="1">
        <v>20</v>
      </c>
      <c r="B129" s="2" t="s">
        <v>68</v>
      </c>
      <c r="C129" s="1">
        <v>1</v>
      </c>
      <c r="D129" s="2" t="s">
        <v>69</v>
      </c>
      <c r="E129" s="3">
        <v>1621300750</v>
      </c>
      <c r="F129" s="2" t="s">
        <v>125</v>
      </c>
      <c r="G129" s="17">
        <v>-530000</v>
      </c>
      <c r="H129" s="18">
        <v>-515030</v>
      </c>
      <c r="I129" s="17">
        <v>-515000</v>
      </c>
      <c r="J129" s="18">
        <v>-511764</v>
      </c>
      <c r="K129" s="17">
        <v>-515000</v>
      </c>
      <c r="L129" s="18">
        <v>-426821</v>
      </c>
      <c r="M129" s="17">
        <v>-515000</v>
      </c>
      <c r="R129" s="47">
        <f t="shared" si="22"/>
        <v>0</v>
      </c>
    </row>
    <row r="130" spans="1:18" ht="15" customHeight="1" outlineLevel="4">
      <c r="A130" s="1">
        <v>20</v>
      </c>
      <c r="B130" s="2" t="s">
        <v>68</v>
      </c>
      <c r="C130" s="1">
        <v>1</v>
      </c>
      <c r="D130" s="2" t="s">
        <v>69</v>
      </c>
      <c r="E130" s="3">
        <v>1623000750</v>
      </c>
      <c r="F130" s="2" t="s">
        <v>126</v>
      </c>
      <c r="G130" s="17">
        <v>-215000</v>
      </c>
      <c r="H130" s="18">
        <v>-120189.5</v>
      </c>
      <c r="I130" s="17">
        <v>-150000</v>
      </c>
      <c r="J130" s="18">
        <v>-127223.69</v>
      </c>
      <c r="K130" s="17">
        <v>-120000</v>
      </c>
      <c r="L130" s="18">
        <v>-119071</v>
      </c>
      <c r="M130" s="17">
        <v>-150000</v>
      </c>
      <c r="R130" s="47">
        <f t="shared" si="22"/>
        <v>-30000</v>
      </c>
    </row>
    <row r="131" spans="1:18" ht="15" customHeight="1" outlineLevel="4">
      <c r="A131" s="1">
        <v>20</v>
      </c>
      <c r="B131" s="2" t="s">
        <v>68</v>
      </c>
      <c r="C131" s="1">
        <v>4</v>
      </c>
      <c r="D131" s="2" t="s">
        <v>69</v>
      </c>
      <c r="E131" s="3">
        <v>1712300750</v>
      </c>
      <c r="F131" s="2" t="s">
        <v>127</v>
      </c>
      <c r="G131" s="17">
        <v>-2400000</v>
      </c>
      <c r="H131" s="18">
        <v>-2395226.7</v>
      </c>
      <c r="I131" s="17">
        <v>-2312000</v>
      </c>
      <c r="J131" s="18">
        <v>-2259391.6</v>
      </c>
      <c r="K131" s="17">
        <v>-2372000</v>
      </c>
      <c r="L131" s="18">
        <v>-1293704</v>
      </c>
      <c r="M131" s="17">
        <f>-'[1]סיכומים'!$E$18</f>
        <v>-2362000</v>
      </c>
      <c r="R131" s="47">
        <f t="shared" si="22"/>
        <v>10000</v>
      </c>
    </row>
    <row r="132" spans="1:18" ht="15" customHeight="1" outlineLevel="4">
      <c r="A132" s="1">
        <v>20</v>
      </c>
      <c r="B132" s="2" t="s">
        <v>68</v>
      </c>
      <c r="C132" s="1">
        <v>4</v>
      </c>
      <c r="D132" s="2" t="s">
        <v>69</v>
      </c>
      <c r="E132" s="3">
        <v>1714300750</v>
      </c>
      <c r="F132" s="2" t="s">
        <v>128</v>
      </c>
      <c r="G132" s="17">
        <v>-78000</v>
      </c>
      <c r="H132" s="18">
        <v>-55978.4</v>
      </c>
      <c r="I132" s="17">
        <v>-88000</v>
      </c>
      <c r="J132" s="18">
        <v>-69346.49</v>
      </c>
      <c r="K132" s="17">
        <f>-75000-40000</f>
        <v>-115000</v>
      </c>
      <c r="L132" s="18">
        <v>-61971</v>
      </c>
      <c r="M132" s="17">
        <f>-'[1]סיכומים'!$E$34</f>
        <v>-85000</v>
      </c>
      <c r="R132" s="47">
        <f t="shared" si="22"/>
        <v>30000</v>
      </c>
    </row>
    <row r="133" spans="1:18" ht="15" customHeight="1" outlineLevel="4">
      <c r="A133" s="1">
        <v>20</v>
      </c>
      <c r="B133" s="2" t="s">
        <v>68</v>
      </c>
      <c r="C133" s="1">
        <v>4</v>
      </c>
      <c r="D133" s="2" t="s">
        <v>69</v>
      </c>
      <c r="E133" s="3">
        <v>1715300750</v>
      </c>
      <c r="F133" s="2" t="s">
        <v>129</v>
      </c>
      <c r="G133" s="17">
        <v>-156000</v>
      </c>
      <c r="H133" s="18">
        <v>-144427.6</v>
      </c>
      <c r="I133" s="17">
        <v>-165000</v>
      </c>
      <c r="J133" s="18">
        <v>-132897.7</v>
      </c>
      <c r="K133" s="17">
        <f>-168000+40000</f>
        <v>-128000</v>
      </c>
      <c r="L133" s="18">
        <v>-82158</v>
      </c>
      <c r="M133" s="17">
        <f>-'[1]סיכומים'!$E$33</f>
        <v>-161000</v>
      </c>
      <c r="R133" s="47">
        <f t="shared" si="22"/>
        <v>-33000</v>
      </c>
    </row>
    <row r="134" spans="1:18" ht="15" customHeight="1" outlineLevel="4">
      <c r="A134" s="1">
        <v>20</v>
      </c>
      <c r="B134" s="2" t="s">
        <v>68</v>
      </c>
      <c r="C134" s="1">
        <v>6</v>
      </c>
      <c r="D134" s="2" t="s">
        <v>69</v>
      </c>
      <c r="E134" s="3">
        <v>1722000750</v>
      </c>
      <c r="F134" s="2" t="s">
        <v>130</v>
      </c>
      <c r="G134" s="17">
        <v>-948000</v>
      </c>
      <c r="H134" s="18">
        <v>-914163.1</v>
      </c>
      <c r="I134" s="17">
        <v>-775000</v>
      </c>
      <c r="J134" s="18">
        <v>-788134.07</v>
      </c>
      <c r="K134" s="17">
        <v>-880000</v>
      </c>
      <c r="L134" s="18">
        <v>-720542</v>
      </c>
      <c r="M134" s="17">
        <f>-'[2]סה"כ'!$B$3</f>
        <v>-1170000</v>
      </c>
      <c r="R134" s="47">
        <f t="shared" si="22"/>
        <v>-290000</v>
      </c>
    </row>
    <row r="135" spans="1:18" ht="15" customHeight="1" outlineLevel="4">
      <c r="A135" s="1">
        <v>20</v>
      </c>
      <c r="B135" s="2" t="s">
        <v>68</v>
      </c>
      <c r="C135" s="1">
        <v>6</v>
      </c>
      <c r="D135" s="2" t="s">
        <v>69</v>
      </c>
      <c r="E135" s="3">
        <v>1723000812</v>
      </c>
      <c r="F135" s="2" t="s">
        <v>131</v>
      </c>
      <c r="G135" s="17">
        <v>-18000</v>
      </c>
      <c r="H135" s="18">
        <v>-13427.05</v>
      </c>
      <c r="I135" s="17">
        <v>-6000</v>
      </c>
      <c r="J135" s="18">
        <v>-12163</v>
      </c>
      <c r="K135" s="17">
        <v>0</v>
      </c>
      <c r="L135" s="18">
        <v>-12818</v>
      </c>
      <c r="M135" s="17">
        <v>0</v>
      </c>
      <c r="R135" s="47">
        <f t="shared" si="22"/>
        <v>0</v>
      </c>
    </row>
    <row r="136" spans="1:18" ht="15" customHeight="1" outlineLevel="4">
      <c r="A136" s="1">
        <v>20</v>
      </c>
      <c r="B136" s="2" t="s">
        <v>68</v>
      </c>
      <c r="C136" s="1">
        <v>6</v>
      </c>
      <c r="D136" s="2" t="s">
        <v>69</v>
      </c>
      <c r="E136" s="3">
        <v>1724000830</v>
      </c>
      <c r="F136" s="2" t="s">
        <v>132</v>
      </c>
      <c r="G136" s="17">
        <v>-100000</v>
      </c>
      <c r="H136" s="18">
        <v>-80970.01</v>
      </c>
      <c r="I136" s="17">
        <v>-81000</v>
      </c>
      <c r="J136" s="18">
        <v>-80241</v>
      </c>
      <c r="K136" s="17">
        <v>-81000</v>
      </c>
      <c r="L136" s="18">
        <v>-998</v>
      </c>
      <c r="M136" s="17">
        <v>0</v>
      </c>
      <c r="R136" s="47">
        <f t="shared" si="22"/>
        <v>81000</v>
      </c>
    </row>
    <row r="137" spans="1:18" ht="15" customHeight="1" outlineLevel="4">
      <c r="A137" s="1">
        <v>20</v>
      </c>
      <c r="B137" s="2" t="s">
        <v>68</v>
      </c>
      <c r="C137" s="1">
        <v>6</v>
      </c>
      <c r="D137" s="2" t="s">
        <v>69</v>
      </c>
      <c r="E137" s="3">
        <v>1725000530</v>
      </c>
      <c r="F137" s="2" t="s">
        <v>133</v>
      </c>
      <c r="G137" s="17">
        <v>-55000</v>
      </c>
      <c r="H137" s="18">
        <v>-45669.27</v>
      </c>
      <c r="I137" s="17">
        <v>-60000</v>
      </c>
      <c r="J137" s="18">
        <v>-57400.61</v>
      </c>
      <c r="K137" s="17">
        <v>-60000</v>
      </c>
      <c r="L137" s="18">
        <v>-52970</v>
      </c>
      <c r="M137" s="17">
        <v>-74000</v>
      </c>
      <c r="Q137" s="45" t="s">
        <v>283</v>
      </c>
      <c r="R137" s="47">
        <f t="shared" si="22"/>
        <v>-14000</v>
      </c>
    </row>
    <row r="138" spans="1:18" ht="15" customHeight="1" outlineLevel="4">
      <c r="A138" s="1">
        <v>20</v>
      </c>
      <c r="B138" s="2" t="s">
        <v>68</v>
      </c>
      <c r="C138" s="1">
        <v>6</v>
      </c>
      <c r="D138" s="2" t="s">
        <v>69</v>
      </c>
      <c r="E138" s="3">
        <v>1725000780</v>
      </c>
      <c r="F138" s="2" t="s">
        <v>79</v>
      </c>
      <c r="G138" s="17">
        <v>-136000</v>
      </c>
      <c r="H138" s="18">
        <v>-106085.75</v>
      </c>
      <c r="I138" s="17">
        <v>-68000</v>
      </c>
      <c r="J138" s="18">
        <v>-94202.35</v>
      </c>
      <c r="K138" s="17">
        <v>-43000</v>
      </c>
      <c r="L138" s="18">
        <v>-36225</v>
      </c>
      <c r="M138" s="17">
        <f>-'[2]סה"כ'!$B$4</f>
        <v>-125000</v>
      </c>
      <c r="R138" s="47">
        <f t="shared" si="22"/>
        <v>-82000</v>
      </c>
    </row>
    <row r="139" spans="1:18" ht="15" customHeight="1" outlineLevel="4">
      <c r="A139" s="1">
        <v>20</v>
      </c>
      <c r="B139" s="2" t="s">
        <v>68</v>
      </c>
      <c r="C139" s="1">
        <v>6</v>
      </c>
      <c r="D139" s="2" t="s">
        <v>69</v>
      </c>
      <c r="E139" s="36" t="s">
        <v>252</v>
      </c>
      <c r="F139" s="2" t="s">
        <v>295</v>
      </c>
      <c r="G139" s="17"/>
      <c r="H139" s="18"/>
      <c r="I139" s="17"/>
      <c r="J139" s="18"/>
      <c r="K139" s="17"/>
      <c r="L139" s="18"/>
      <c r="M139" s="17">
        <v>-30000</v>
      </c>
      <c r="R139" s="47"/>
    </row>
    <row r="140" spans="1:18" ht="15" customHeight="1" outlineLevel="4">
      <c r="A140" s="1">
        <v>20</v>
      </c>
      <c r="B140" s="2" t="s">
        <v>68</v>
      </c>
      <c r="C140" s="1">
        <v>6</v>
      </c>
      <c r="D140" s="2" t="s">
        <v>69</v>
      </c>
      <c r="E140" s="3">
        <v>1726000740</v>
      </c>
      <c r="F140" s="2" t="s">
        <v>297</v>
      </c>
      <c r="G140" s="17">
        <v>-18000</v>
      </c>
      <c r="H140" s="18">
        <v>-14577.52</v>
      </c>
      <c r="I140" s="17">
        <v>0</v>
      </c>
      <c r="J140" s="18">
        <v>-694.5</v>
      </c>
      <c r="K140" s="17">
        <v>-9000</v>
      </c>
      <c r="L140" s="18">
        <v>-10178.02</v>
      </c>
      <c r="M140" s="17">
        <f>-'[2]סה"כ'!$B$5</f>
        <v>-16000</v>
      </c>
      <c r="Q140" t="s">
        <v>296</v>
      </c>
      <c r="R140" s="47">
        <f t="shared" si="22"/>
        <v>-7000</v>
      </c>
    </row>
    <row r="141" spans="1:18" ht="15" customHeight="1" outlineLevel="4">
      <c r="A141" s="1">
        <v>20</v>
      </c>
      <c r="B141" s="2" t="s">
        <v>68</v>
      </c>
      <c r="C141" s="1">
        <v>6</v>
      </c>
      <c r="D141" s="2" t="s">
        <v>69</v>
      </c>
      <c r="E141" s="3">
        <v>1726000750</v>
      </c>
      <c r="F141" s="2" t="s">
        <v>134</v>
      </c>
      <c r="G141" s="17">
        <v>-152000</v>
      </c>
      <c r="H141" s="18">
        <v>-151981.78</v>
      </c>
      <c r="I141" s="17">
        <v>-118000</v>
      </c>
      <c r="J141" s="18">
        <v>-130327.65</v>
      </c>
      <c r="K141" s="17">
        <v>-96000</v>
      </c>
      <c r="L141" s="18">
        <v>-84661</v>
      </c>
      <c r="M141" s="17">
        <f>-'[2]סה"כ'!$B$6</f>
        <v>-97000</v>
      </c>
      <c r="R141" s="47">
        <f t="shared" si="22"/>
        <v>-1000</v>
      </c>
    </row>
    <row r="142" spans="1:18" ht="15" customHeight="1" outlineLevel="4">
      <c r="A142" s="1">
        <v>20</v>
      </c>
      <c r="B142" s="2" t="s">
        <v>68</v>
      </c>
      <c r="C142" s="1">
        <v>7</v>
      </c>
      <c r="D142" s="2" t="s">
        <v>69</v>
      </c>
      <c r="E142" s="3">
        <v>1730000540</v>
      </c>
      <c r="F142" s="2" t="s">
        <v>135</v>
      </c>
      <c r="G142" s="17">
        <v>-10000</v>
      </c>
      <c r="H142" s="18">
        <v>-4630.33</v>
      </c>
      <c r="I142" s="17">
        <v>-10000</v>
      </c>
      <c r="J142" s="18">
        <v>-18785.52</v>
      </c>
      <c r="K142" s="17">
        <v>-10000</v>
      </c>
      <c r="L142" s="18">
        <v>-36676</v>
      </c>
      <c r="M142" s="17">
        <v>-10000</v>
      </c>
      <c r="R142" s="47">
        <f t="shared" si="22"/>
        <v>0</v>
      </c>
    </row>
    <row r="143" spans="1:18" ht="15" customHeight="1" outlineLevel="4">
      <c r="A143" s="1">
        <v>20</v>
      </c>
      <c r="B143" s="2" t="s">
        <v>68</v>
      </c>
      <c r="C143" s="1">
        <v>7</v>
      </c>
      <c r="D143" s="2" t="s">
        <v>69</v>
      </c>
      <c r="E143" s="3">
        <v>1730000570</v>
      </c>
      <c r="F143" s="2" t="s">
        <v>136</v>
      </c>
      <c r="G143" s="17">
        <v>-666000</v>
      </c>
      <c r="H143" s="18">
        <v>-601021.68</v>
      </c>
      <c r="I143" s="17">
        <v>-403000</v>
      </c>
      <c r="J143" s="18">
        <v>-438399.16</v>
      </c>
      <c r="K143" s="17">
        <v>-697000</v>
      </c>
      <c r="L143" s="18">
        <v>-538976</v>
      </c>
      <c r="M143" s="17">
        <f>-'[3]ריכוז רכש'!$H$25*1000</f>
        <v>-599000</v>
      </c>
      <c r="R143" s="47">
        <f t="shared" si="22"/>
        <v>98000</v>
      </c>
    </row>
    <row r="144" spans="1:18" ht="15" customHeight="1" outlineLevel="4">
      <c r="A144" s="1">
        <v>20</v>
      </c>
      <c r="B144" s="2" t="s">
        <v>68</v>
      </c>
      <c r="C144" s="1">
        <v>7</v>
      </c>
      <c r="D144" s="2" t="s">
        <v>69</v>
      </c>
      <c r="E144" s="3">
        <v>1730000750</v>
      </c>
      <c r="F144" s="2" t="s">
        <v>137</v>
      </c>
      <c r="G144" s="17">
        <v>-600000</v>
      </c>
      <c r="H144" s="18">
        <v>-480257.34</v>
      </c>
      <c r="I144" s="17">
        <v>-600000</v>
      </c>
      <c r="J144" s="18">
        <v>-605212.72</v>
      </c>
      <c r="K144" s="17">
        <v>-1000000</v>
      </c>
      <c r="L144" s="18">
        <v>-438310</v>
      </c>
      <c r="M144" s="17">
        <v>-800000</v>
      </c>
      <c r="R144" s="47">
        <f t="shared" si="22"/>
        <v>200000</v>
      </c>
    </row>
    <row r="145" spans="1:18" ht="15" customHeight="1" outlineLevel="4">
      <c r="A145" s="1">
        <v>20</v>
      </c>
      <c r="B145" s="2" t="s">
        <v>68</v>
      </c>
      <c r="C145" s="1">
        <v>7</v>
      </c>
      <c r="D145" s="2" t="s">
        <v>69</v>
      </c>
      <c r="E145" s="3">
        <v>1731000530</v>
      </c>
      <c r="F145" s="2" t="s">
        <v>138</v>
      </c>
      <c r="G145" s="17">
        <v>0</v>
      </c>
      <c r="H145" s="18">
        <v>0</v>
      </c>
      <c r="I145" s="17">
        <v>0</v>
      </c>
      <c r="J145" s="22"/>
      <c r="K145" s="17">
        <v>-65000</v>
      </c>
      <c r="L145" s="18">
        <v>-33204</v>
      </c>
      <c r="M145" s="17">
        <v>-70000</v>
      </c>
      <c r="R145" s="47">
        <f t="shared" si="22"/>
        <v>-5000</v>
      </c>
    </row>
    <row r="146" spans="1:18" ht="15" customHeight="1" outlineLevel="4">
      <c r="A146" s="1">
        <v>20</v>
      </c>
      <c r="B146" s="2" t="s">
        <v>68</v>
      </c>
      <c r="C146" s="1">
        <v>7</v>
      </c>
      <c r="D146" s="2" t="s">
        <v>69</v>
      </c>
      <c r="E146" s="3">
        <v>1731100750</v>
      </c>
      <c r="F146" s="38" t="s">
        <v>263</v>
      </c>
      <c r="G146" s="17">
        <v>0</v>
      </c>
      <c r="H146" s="18">
        <v>0</v>
      </c>
      <c r="I146" s="17">
        <v>0</v>
      </c>
      <c r="J146" s="18">
        <v>-32267.5</v>
      </c>
      <c r="K146" s="17">
        <v>0</v>
      </c>
      <c r="L146" s="18">
        <v>-21736</v>
      </c>
      <c r="M146" s="17">
        <v>-500000</v>
      </c>
      <c r="R146" s="47">
        <f t="shared" si="22"/>
        <v>-500000</v>
      </c>
    </row>
    <row r="147" spans="1:18" ht="15" customHeight="1" outlineLevel="4">
      <c r="A147" s="1">
        <v>20</v>
      </c>
      <c r="B147" s="2" t="s">
        <v>68</v>
      </c>
      <c r="C147" s="1">
        <v>7</v>
      </c>
      <c r="D147" s="2" t="s">
        <v>69</v>
      </c>
      <c r="E147" s="3">
        <v>1731200750</v>
      </c>
      <c r="F147" s="2" t="s">
        <v>140</v>
      </c>
      <c r="G147" s="17">
        <v>-1450000</v>
      </c>
      <c r="H147" s="18">
        <v>-717460.55</v>
      </c>
      <c r="I147" s="17">
        <v>-1000000</v>
      </c>
      <c r="J147" s="18">
        <v>-596655.24</v>
      </c>
      <c r="K147" s="17">
        <v>-600000</v>
      </c>
      <c r="L147" s="18">
        <v>-471727</v>
      </c>
      <c r="M147" s="17">
        <v>-600000</v>
      </c>
      <c r="R147" s="47">
        <f t="shared" si="22"/>
        <v>0</v>
      </c>
    </row>
    <row r="148" spans="1:18" ht="15" customHeight="1" outlineLevel="4">
      <c r="A148" s="1">
        <v>20</v>
      </c>
      <c r="B148" s="2" t="s">
        <v>68</v>
      </c>
      <c r="C148" s="1">
        <v>7</v>
      </c>
      <c r="D148" s="2" t="s">
        <v>69</v>
      </c>
      <c r="E148" s="3">
        <v>1731200930</v>
      </c>
      <c r="F148" s="2" t="s">
        <v>141</v>
      </c>
      <c r="G148" s="17">
        <v>-177000</v>
      </c>
      <c r="H148" s="18">
        <v>-177351</v>
      </c>
      <c r="I148" s="17">
        <v>-140000</v>
      </c>
      <c r="J148" s="22"/>
      <c r="K148" s="17">
        <v>-80000</v>
      </c>
      <c r="L148" s="18"/>
      <c r="M148" s="17">
        <v>-80000</v>
      </c>
      <c r="Q148" s="41" t="s">
        <v>264</v>
      </c>
      <c r="R148" s="47">
        <f t="shared" si="22"/>
        <v>0</v>
      </c>
    </row>
    <row r="149" spans="1:18" ht="15" customHeight="1" outlineLevel="4">
      <c r="A149" s="1">
        <v>20</v>
      </c>
      <c r="B149" s="2" t="s">
        <v>68</v>
      </c>
      <c r="C149" s="1">
        <v>7</v>
      </c>
      <c r="D149" s="2" t="s">
        <v>69</v>
      </c>
      <c r="E149" s="3">
        <v>1731300750</v>
      </c>
      <c r="F149" s="2" t="s">
        <v>142</v>
      </c>
      <c r="G149" s="17">
        <v>-759000</v>
      </c>
      <c r="H149" s="18">
        <v>-394617.65</v>
      </c>
      <c r="I149" s="17">
        <v>-462000</v>
      </c>
      <c r="J149" s="18">
        <v>-338050.77</v>
      </c>
      <c r="K149" s="17">
        <v>-354000</v>
      </c>
      <c r="L149" s="18">
        <v>-108126</v>
      </c>
      <c r="M149" s="17">
        <f>-'[3]ריכוז רכש'!$H$26*1000</f>
        <v>-324000</v>
      </c>
      <c r="R149" s="47">
        <f t="shared" si="22"/>
        <v>30000</v>
      </c>
    </row>
    <row r="150" spans="1:18" ht="15" customHeight="1" outlineLevel="4">
      <c r="A150" s="1">
        <v>20</v>
      </c>
      <c r="B150" s="2" t="s">
        <v>68</v>
      </c>
      <c r="C150" s="1">
        <v>7</v>
      </c>
      <c r="D150" s="2" t="s">
        <v>69</v>
      </c>
      <c r="E150" s="3">
        <v>1731400530</v>
      </c>
      <c r="F150" s="2" t="s">
        <v>143</v>
      </c>
      <c r="G150" s="17">
        <v>-43000</v>
      </c>
      <c r="H150" s="18">
        <v>-51093.67</v>
      </c>
      <c r="I150" s="17">
        <v>-52000</v>
      </c>
      <c r="J150" s="18">
        <v>-44511.4</v>
      </c>
      <c r="K150" s="17">
        <v>0</v>
      </c>
      <c r="L150" s="18">
        <v>0</v>
      </c>
      <c r="M150" s="17">
        <v>0</v>
      </c>
      <c r="R150" s="47">
        <f t="shared" si="22"/>
        <v>0</v>
      </c>
    </row>
    <row r="151" spans="1:18" ht="15" customHeight="1" outlineLevel="4">
      <c r="A151" s="1">
        <v>20</v>
      </c>
      <c r="B151" s="2" t="s">
        <v>68</v>
      </c>
      <c r="C151" s="1">
        <v>7</v>
      </c>
      <c r="D151" s="2" t="s">
        <v>69</v>
      </c>
      <c r="E151" s="3">
        <v>1731400750</v>
      </c>
      <c r="F151" s="2" t="s">
        <v>144</v>
      </c>
      <c r="G151" s="17">
        <v>-280000</v>
      </c>
      <c r="H151" s="18">
        <v>-159327</v>
      </c>
      <c r="I151" s="17">
        <v>-245000</v>
      </c>
      <c r="J151" s="18">
        <v>-212882.66</v>
      </c>
      <c r="K151" s="17">
        <f>-235000-100000</f>
        <v>-335000</v>
      </c>
      <c r="L151" s="18">
        <v>-194998</v>
      </c>
      <c r="M151" s="46">
        <f>-'[1]סיכומים'!$F$8</f>
        <v>-185000</v>
      </c>
      <c r="R151" s="47">
        <f t="shared" si="22"/>
        <v>150000</v>
      </c>
    </row>
    <row r="152" spans="1:18" ht="15" customHeight="1" outlineLevel="4">
      <c r="A152" s="1">
        <v>20</v>
      </c>
      <c r="B152" s="2" t="s">
        <v>68</v>
      </c>
      <c r="C152" s="1">
        <v>4</v>
      </c>
      <c r="D152" s="2" t="s">
        <v>69</v>
      </c>
      <c r="E152" s="3">
        <v>1731410750</v>
      </c>
      <c r="F152" s="2" t="s">
        <v>145</v>
      </c>
      <c r="G152" s="17">
        <v>-14000</v>
      </c>
      <c r="H152" s="18">
        <v>-9488.4</v>
      </c>
      <c r="I152" s="17">
        <v>-20000</v>
      </c>
      <c r="J152" s="18">
        <v>-485.03</v>
      </c>
      <c r="K152" s="17">
        <f>-50000+50000</f>
        <v>0</v>
      </c>
      <c r="L152" s="18">
        <v>-585</v>
      </c>
      <c r="M152" s="17">
        <v>0</v>
      </c>
      <c r="R152" s="47">
        <f t="shared" si="22"/>
        <v>0</v>
      </c>
    </row>
    <row r="153" spans="1:18" ht="15" customHeight="1" outlineLevel="4">
      <c r="A153" s="1">
        <v>20</v>
      </c>
      <c r="B153" s="2" t="s">
        <v>68</v>
      </c>
      <c r="C153" s="1">
        <v>7</v>
      </c>
      <c r="D153" s="2" t="s">
        <v>69</v>
      </c>
      <c r="E153" s="3">
        <v>1731500750</v>
      </c>
      <c r="F153" s="38" t="s">
        <v>265</v>
      </c>
      <c r="G153" s="17">
        <v>-200000</v>
      </c>
      <c r="H153" s="18">
        <v>-232621.3</v>
      </c>
      <c r="I153" s="17">
        <v>-100000</v>
      </c>
      <c r="J153" s="18">
        <v>-44746.06</v>
      </c>
      <c r="K153" s="17">
        <v>-200000</v>
      </c>
      <c r="L153" s="18">
        <v>-14066</v>
      </c>
      <c r="M153" s="17">
        <f>-120000-80000</f>
        <v>-200000</v>
      </c>
      <c r="Q153" t="s">
        <v>266</v>
      </c>
      <c r="R153" s="47">
        <f t="shared" si="22"/>
        <v>0</v>
      </c>
    </row>
    <row r="154" spans="1:18" ht="15" customHeight="1" outlineLevel="4">
      <c r="A154" s="1">
        <v>20</v>
      </c>
      <c r="B154" s="2" t="s">
        <v>68</v>
      </c>
      <c r="C154" s="1">
        <v>7</v>
      </c>
      <c r="D154" s="2" t="s">
        <v>69</v>
      </c>
      <c r="E154" s="3">
        <v>1731500780</v>
      </c>
      <c r="F154" s="2" t="s">
        <v>146</v>
      </c>
      <c r="G154" s="17">
        <v>-20000</v>
      </c>
      <c r="H154" s="18">
        <v>-5974.06</v>
      </c>
      <c r="I154" s="17">
        <v>-20000</v>
      </c>
      <c r="J154" s="18">
        <v>-12780.76</v>
      </c>
      <c r="K154" s="17">
        <v>-50000</v>
      </c>
      <c r="L154" s="18">
        <v>-18057</v>
      </c>
      <c r="M154" s="17">
        <v>-20000</v>
      </c>
      <c r="R154" s="47">
        <f t="shared" si="22"/>
        <v>30000</v>
      </c>
    </row>
    <row r="155" spans="1:18" ht="15" customHeight="1" outlineLevel="4">
      <c r="A155" s="1">
        <v>20</v>
      </c>
      <c r="B155" s="2" t="s">
        <v>68</v>
      </c>
      <c r="C155" s="1">
        <v>7</v>
      </c>
      <c r="D155" s="2" t="s">
        <v>69</v>
      </c>
      <c r="E155" s="3">
        <v>1731600750</v>
      </c>
      <c r="F155" s="2" t="s">
        <v>147</v>
      </c>
      <c r="G155" s="17">
        <v>-125000</v>
      </c>
      <c r="H155" s="18">
        <v>-129112.49</v>
      </c>
      <c r="I155" s="17">
        <v>-130000</v>
      </c>
      <c r="J155" s="18">
        <v>-119508.48</v>
      </c>
      <c r="K155" s="17">
        <v>-130000</v>
      </c>
      <c r="L155" s="18">
        <v>-99590</v>
      </c>
      <c r="M155" s="17">
        <v>-130000</v>
      </c>
      <c r="R155" s="47">
        <f t="shared" si="22"/>
        <v>0</v>
      </c>
    </row>
    <row r="156" spans="1:18" ht="15" customHeight="1" outlineLevel="4">
      <c r="A156" s="1">
        <v>20</v>
      </c>
      <c r="B156" s="2" t="s">
        <v>68</v>
      </c>
      <c r="C156" s="1">
        <v>7</v>
      </c>
      <c r="D156" s="2" t="s">
        <v>69</v>
      </c>
      <c r="E156" s="3">
        <v>1731700780</v>
      </c>
      <c r="F156" s="2" t="s">
        <v>148</v>
      </c>
      <c r="G156" s="17">
        <v>-1200000</v>
      </c>
      <c r="H156" s="18">
        <v>-1033000</v>
      </c>
      <c r="I156" s="17">
        <v>-600000</v>
      </c>
      <c r="J156" s="18">
        <v>-421000</v>
      </c>
      <c r="K156" s="17">
        <v>-600000</v>
      </c>
      <c r="L156" s="18">
        <v>0</v>
      </c>
      <c r="M156" s="17">
        <v>-500000</v>
      </c>
      <c r="R156" s="47">
        <f t="shared" si="22"/>
        <v>100000</v>
      </c>
    </row>
    <row r="157" spans="1:18" ht="15" customHeight="1" outlineLevel="4">
      <c r="A157" s="1">
        <v>20</v>
      </c>
      <c r="B157" s="2" t="s">
        <v>68</v>
      </c>
      <c r="C157" s="1">
        <v>7</v>
      </c>
      <c r="D157" s="2" t="s">
        <v>69</v>
      </c>
      <c r="E157" s="3">
        <v>1731800750</v>
      </c>
      <c r="F157" s="2" t="s">
        <v>149</v>
      </c>
      <c r="G157" s="17">
        <v>-650000</v>
      </c>
      <c r="H157" s="18">
        <v>-801754.06</v>
      </c>
      <c r="I157" s="17">
        <v>-610000</v>
      </c>
      <c r="J157" s="18">
        <v>-614106</v>
      </c>
      <c r="K157" s="17">
        <v>-650000</v>
      </c>
      <c r="L157" s="18">
        <v>-452409</v>
      </c>
      <c r="M157" s="17">
        <v>-450000</v>
      </c>
      <c r="R157" s="47">
        <f t="shared" si="22"/>
        <v>200000</v>
      </c>
    </row>
    <row r="158" spans="1:18" ht="15" customHeight="1" outlineLevel="4">
      <c r="A158" s="1">
        <v>20</v>
      </c>
      <c r="B158" s="2" t="s">
        <v>68</v>
      </c>
      <c r="C158" s="1">
        <v>7</v>
      </c>
      <c r="D158" s="2" t="s">
        <v>69</v>
      </c>
      <c r="E158" s="3">
        <v>1731900750</v>
      </c>
      <c r="F158" s="2" t="s">
        <v>150</v>
      </c>
      <c r="G158" s="17">
        <v>-654000</v>
      </c>
      <c r="H158" s="18">
        <v>-572120.36</v>
      </c>
      <c r="I158" s="17">
        <v>-540000</v>
      </c>
      <c r="J158" s="18">
        <v>-484151</v>
      </c>
      <c r="K158" s="17">
        <v>-425000</v>
      </c>
      <c r="L158" s="18">
        <v>-209459</v>
      </c>
      <c r="M158" s="46">
        <f>-'[1]סיכומים'!$F$35</f>
        <v>-435000</v>
      </c>
      <c r="R158" s="47">
        <f t="shared" si="22"/>
        <v>-10000</v>
      </c>
    </row>
    <row r="159" spans="1:18" ht="15" customHeight="1" outlineLevel="4">
      <c r="A159" s="1">
        <v>20</v>
      </c>
      <c r="B159" s="2" t="s">
        <v>68</v>
      </c>
      <c r="C159" s="1">
        <v>7</v>
      </c>
      <c r="D159" s="2" t="s">
        <v>69</v>
      </c>
      <c r="E159" s="3">
        <v>1732300750</v>
      </c>
      <c r="F159" s="2" t="s">
        <v>151</v>
      </c>
      <c r="G159" s="17">
        <v>-400000</v>
      </c>
      <c r="H159" s="18">
        <v>-336829.22</v>
      </c>
      <c r="I159" s="17">
        <v>-400000</v>
      </c>
      <c r="J159" s="18">
        <v>-616223.44</v>
      </c>
      <c r="K159" s="17">
        <v>-800000</v>
      </c>
      <c r="L159" s="18">
        <v>-239274</v>
      </c>
      <c r="M159" s="17">
        <f>-900000-50000</f>
        <v>-950000</v>
      </c>
      <c r="Q159" t="s">
        <v>290</v>
      </c>
      <c r="R159" s="47">
        <f t="shared" si="22"/>
        <v>-150000</v>
      </c>
    </row>
    <row r="160" spans="1:18" ht="15" customHeight="1" outlineLevel="4">
      <c r="A160" s="1">
        <v>20</v>
      </c>
      <c r="B160" s="2" t="s">
        <v>68</v>
      </c>
      <c r="C160" s="1">
        <v>7</v>
      </c>
      <c r="D160" s="2" t="s">
        <v>69</v>
      </c>
      <c r="E160" s="3">
        <v>1732500750</v>
      </c>
      <c r="F160" s="2" t="s">
        <v>152</v>
      </c>
      <c r="G160" s="17">
        <v>-300000</v>
      </c>
      <c r="H160" s="18">
        <v>0</v>
      </c>
      <c r="I160" s="17">
        <v>0</v>
      </c>
      <c r="J160" s="22"/>
      <c r="K160" s="17">
        <v>-200000</v>
      </c>
      <c r="L160" s="18">
        <v>0</v>
      </c>
      <c r="M160" s="17">
        <v>-200000</v>
      </c>
      <c r="R160" s="47">
        <f t="shared" si="22"/>
        <v>0</v>
      </c>
    </row>
    <row r="161" spans="1:18" ht="15" customHeight="1" outlineLevel="4">
      <c r="A161" s="1">
        <v>20</v>
      </c>
      <c r="B161" s="2" t="s">
        <v>68</v>
      </c>
      <c r="C161" s="1">
        <v>7</v>
      </c>
      <c r="D161" s="2" t="s">
        <v>69</v>
      </c>
      <c r="E161" s="3">
        <v>1734100521</v>
      </c>
      <c r="F161" s="2" t="s">
        <v>153</v>
      </c>
      <c r="G161" s="17">
        <v>0</v>
      </c>
      <c r="H161" s="18">
        <v>0</v>
      </c>
      <c r="I161" s="17">
        <v>0</v>
      </c>
      <c r="J161" s="22"/>
      <c r="K161" s="17">
        <v>-120000</v>
      </c>
      <c r="L161" s="18">
        <v>-255</v>
      </c>
      <c r="M161" s="17">
        <v>-50000</v>
      </c>
      <c r="R161" s="47">
        <f t="shared" si="22"/>
        <v>70000</v>
      </c>
    </row>
    <row r="162" spans="1:18" ht="15" customHeight="1" outlineLevel="4">
      <c r="A162" s="1">
        <v>20</v>
      </c>
      <c r="B162" s="2" t="s">
        <v>68</v>
      </c>
      <c r="C162" s="1">
        <v>4</v>
      </c>
      <c r="D162" s="2" t="s">
        <v>69</v>
      </c>
      <c r="E162" s="3">
        <v>1735200420</v>
      </c>
      <c r="F162" s="38" t="s">
        <v>267</v>
      </c>
      <c r="G162" s="17">
        <v>0</v>
      </c>
      <c r="H162" s="18">
        <v>-2639.4</v>
      </c>
      <c r="I162" s="46">
        <v>-510000</v>
      </c>
      <c r="J162" s="18">
        <v>-290923.85</v>
      </c>
      <c r="K162" s="46">
        <f>-370000-20000</f>
        <v>-390000</v>
      </c>
      <c r="L162" s="18">
        <v>-202059</v>
      </c>
      <c r="M162" s="46">
        <f>-'[1]סיכומים'!$E$6</f>
        <v>-364500</v>
      </c>
      <c r="R162" s="47">
        <f t="shared" si="22"/>
        <v>25500</v>
      </c>
    </row>
    <row r="163" spans="1:18" ht="15" customHeight="1" outlineLevel="4">
      <c r="A163" s="1">
        <v>20</v>
      </c>
      <c r="B163" s="2" t="s">
        <v>68</v>
      </c>
      <c r="C163" s="1">
        <v>4</v>
      </c>
      <c r="D163" s="2" t="s">
        <v>69</v>
      </c>
      <c r="E163" s="3">
        <v>1735200742</v>
      </c>
      <c r="F163" s="2" t="s">
        <v>154</v>
      </c>
      <c r="G163" s="17">
        <v>0</v>
      </c>
      <c r="H163" s="18">
        <v>-1180</v>
      </c>
      <c r="I163" s="17">
        <v>-64000</v>
      </c>
      <c r="J163" s="18">
        <v>-44736.61</v>
      </c>
      <c r="K163" s="17">
        <v>0</v>
      </c>
      <c r="L163" s="18">
        <v>0</v>
      </c>
      <c r="M163" s="46"/>
      <c r="Q163" t="s">
        <v>268</v>
      </c>
      <c r="R163" s="47">
        <f t="shared" si="22"/>
        <v>0</v>
      </c>
    </row>
    <row r="164" spans="1:18" ht="15" customHeight="1" outlineLevel="4">
      <c r="A164" s="1">
        <v>20</v>
      </c>
      <c r="B164" s="2" t="s">
        <v>68</v>
      </c>
      <c r="C164" s="1">
        <v>4</v>
      </c>
      <c r="D164" s="2" t="s">
        <v>69</v>
      </c>
      <c r="E164" s="3">
        <v>1735310750</v>
      </c>
      <c r="F164" s="2" t="s">
        <v>155</v>
      </c>
      <c r="G164" s="17">
        <v>0</v>
      </c>
      <c r="H164" s="18">
        <v>0</v>
      </c>
      <c r="I164" s="17">
        <v>-255000</v>
      </c>
      <c r="J164" s="18">
        <v>-241332.05</v>
      </c>
      <c r="K164" s="17">
        <v>0</v>
      </c>
      <c r="L164" s="18">
        <v>0</v>
      </c>
      <c r="M164" s="46"/>
      <c r="Q164" t="s">
        <v>268</v>
      </c>
      <c r="R164" s="47">
        <f t="shared" si="22"/>
        <v>0</v>
      </c>
    </row>
    <row r="165" spans="1:18" ht="15" customHeight="1" outlineLevel="4">
      <c r="A165" s="1">
        <v>20</v>
      </c>
      <c r="B165" s="2" t="s">
        <v>68</v>
      </c>
      <c r="C165" s="1">
        <v>4</v>
      </c>
      <c r="D165" s="2" t="s">
        <v>69</v>
      </c>
      <c r="E165" s="3">
        <v>1735410750</v>
      </c>
      <c r="F165" s="2" t="s">
        <v>156</v>
      </c>
      <c r="G165" s="17">
        <v>-120000</v>
      </c>
      <c r="H165" s="18">
        <v>-101200</v>
      </c>
      <c r="I165" s="17">
        <v>-120000</v>
      </c>
      <c r="J165" s="18">
        <v>-99500.01</v>
      </c>
      <c r="K165" s="17">
        <v>0</v>
      </c>
      <c r="L165" s="18">
        <v>0</v>
      </c>
      <c r="M165" s="17">
        <v>-30000</v>
      </c>
      <c r="Q165" t="s">
        <v>281</v>
      </c>
      <c r="R165" s="47">
        <f t="shared" si="22"/>
        <v>-30000</v>
      </c>
    </row>
    <row r="166" spans="1:18" ht="15" customHeight="1" outlineLevel="4">
      <c r="A166" s="1">
        <v>20</v>
      </c>
      <c r="B166" s="2" t="s">
        <v>68</v>
      </c>
      <c r="C166" s="1">
        <v>4</v>
      </c>
      <c r="D166" s="2" t="s">
        <v>69</v>
      </c>
      <c r="E166" s="3">
        <v>1735500530</v>
      </c>
      <c r="F166" s="2" t="s">
        <v>157</v>
      </c>
      <c r="G166" s="17">
        <v>-306000</v>
      </c>
      <c r="H166" s="18">
        <v>-297886.68</v>
      </c>
      <c r="I166" s="46">
        <v>-355000</v>
      </c>
      <c r="J166" s="18">
        <v>-375136.37</v>
      </c>
      <c r="K166" s="46">
        <f>-324000-25000</f>
        <v>-349000</v>
      </c>
      <c r="L166" s="18">
        <v>-188696</v>
      </c>
      <c r="M166" s="46">
        <v>-540000</v>
      </c>
      <c r="Q166" t="s">
        <v>273</v>
      </c>
      <c r="R166" s="47">
        <f t="shared" si="22"/>
        <v>-191000</v>
      </c>
    </row>
    <row r="167" spans="1:18" ht="15" customHeight="1" outlineLevel="4">
      <c r="A167" s="1">
        <v>20</v>
      </c>
      <c r="B167" s="2" t="s">
        <v>68</v>
      </c>
      <c r="C167" s="1">
        <v>4</v>
      </c>
      <c r="D167" s="2" t="s">
        <v>69</v>
      </c>
      <c r="E167" s="3">
        <v>1742000420</v>
      </c>
      <c r="F167" s="2" t="s">
        <v>158</v>
      </c>
      <c r="G167" s="17">
        <v>-409000</v>
      </c>
      <c r="H167" s="18">
        <v>-342435.64</v>
      </c>
      <c r="I167" s="17">
        <v>0</v>
      </c>
      <c r="J167" s="18">
        <v>-3648.04</v>
      </c>
      <c r="K167" s="17">
        <v>0</v>
      </c>
      <c r="L167" s="18">
        <v>0</v>
      </c>
      <c r="M167" s="17">
        <v>0</v>
      </c>
      <c r="Q167" t="s">
        <v>268</v>
      </c>
      <c r="R167" s="47">
        <f t="shared" si="22"/>
        <v>0</v>
      </c>
    </row>
    <row r="168" spans="1:18" ht="15" customHeight="1" outlineLevel="4">
      <c r="A168" s="1">
        <v>20</v>
      </c>
      <c r="B168" s="2" t="s">
        <v>68</v>
      </c>
      <c r="C168" s="1">
        <v>4</v>
      </c>
      <c r="D168" s="2" t="s">
        <v>69</v>
      </c>
      <c r="E168" s="3">
        <v>1742000421</v>
      </c>
      <c r="F168" s="2" t="s">
        <v>159</v>
      </c>
      <c r="G168" s="17">
        <v>-13000</v>
      </c>
      <c r="H168" s="18">
        <v>0</v>
      </c>
      <c r="I168" s="17">
        <v>0</v>
      </c>
      <c r="J168" s="22"/>
      <c r="K168" s="17">
        <v>-4000</v>
      </c>
      <c r="L168" s="18">
        <v>0</v>
      </c>
      <c r="M168" s="17">
        <f>-'[1]סיכומים'!$E$21</f>
        <v>0</v>
      </c>
      <c r="R168" s="47">
        <f t="shared" si="22"/>
        <v>4000</v>
      </c>
    </row>
    <row r="169" spans="1:18" ht="15" customHeight="1" outlineLevel="4">
      <c r="A169" s="1">
        <v>20</v>
      </c>
      <c r="B169" s="2" t="s">
        <v>68</v>
      </c>
      <c r="C169" s="1">
        <v>4</v>
      </c>
      <c r="D169" s="2" t="s">
        <v>69</v>
      </c>
      <c r="E169" s="3">
        <v>1742000432</v>
      </c>
      <c r="F169" s="2" t="s">
        <v>160</v>
      </c>
      <c r="G169" s="17">
        <v>-250000</v>
      </c>
      <c r="H169" s="18">
        <v>-175117.86</v>
      </c>
      <c r="I169" s="17">
        <v>-212000</v>
      </c>
      <c r="J169" s="18">
        <v>-192239.96</v>
      </c>
      <c r="K169" s="17">
        <f>-200000-20000</f>
        <v>-220000</v>
      </c>
      <c r="L169" s="18">
        <v>-184348</v>
      </c>
      <c r="M169" s="17">
        <f>-'[1]סיכומים'!$E$7</f>
        <v>-210000</v>
      </c>
      <c r="R169" s="47">
        <f t="shared" si="22"/>
        <v>10000</v>
      </c>
    </row>
    <row r="170" spans="1:18" ht="15" customHeight="1" outlineLevel="4">
      <c r="A170" s="1">
        <v>20</v>
      </c>
      <c r="B170" s="2" t="s">
        <v>68</v>
      </c>
      <c r="C170" s="1">
        <v>4</v>
      </c>
      <c r="D170" s="2" t="s">
        <v>69</v>
      </c>
      <c r="E170" s="3">
        <v>1742000742</v>
      </c>
      <c r="F170" s="2" t="s">
        <v>161</v>
      </c>
      <c r="G170" s="17">
        <v>-80000</v>
      </c>
      <c r="H170" s="18">
        <v>-49693.12</v>
      </c>
      <c r="I170" s="46">
        <v>0</v>
      </c>
      <c r="J170" s="18">
        <v>0</v>
      </c>
      <c r="K170" s="46">
        <f>-67000+20000</f>
        <v>-47000</v>
      </c>
      <c r="L170" s="18">
        <v>-35783</v>
      </c>
      <c r="M170" s="46">
        <v>0</v>
      </c>
      <c r="Q170" t="s">
        <v>272</v>
      </c>
      <c r="R170" s="47">
        <f t="shared" si="22"/>
        <v>47000</v>
      </c>
    </row>
    <row r="171" spans="1:18" ht="15" customHeight="1" outlineLevel="4">
      <c r="A171" s="1">
        <v>20</v>
      </c>
      <c r="B171" s="2" t="s">
        <v>68</v>
      </c>
      <c r="C171" s="1">
        <v>4</v>
      </c>
      <c r="D171" s="2" t="s">
        <v>69</v>
      </c>
      <c r="E171" s="3">
        <v>1742000781</v>
      </c>
      <c r="F171" s="2" t="s">
        <v>162</v>
      </c>
      <c r="G171" s="17">
        <v>-93000</v>
      </c>
      <c r="H171" s="18">
        <v>-49549.48</v>
      </c>
      <c r="I171" s="17">
        <v>-37000</v>
      </c>
      <c r="J171" s="18">
        <v>-31912.4</v>
      </c>
      <c r="K171" s="17">
        <f>-143000+60000</f>
        <v>-83000</v>
      </c>
      <c r="L171" s="18">
        <v>-19635</v>
      </c>
      <c r="M171" s="17">
        <f>-'[1]סיכומים'!$E$19</f>
        <v>-131000</v>
      </c>
      <c r="R171" s="47">
        <f aca="true" t="shared" si="23" ref="R171:R207">M171-K171</f>
        <v>-48000</v>
      </c>
    </row>
    <row r="172" spans="1:18" ht="15" customHeight="1" outlineLevel="4">
      <c r="A172" s="1">
        <v>20</v>
      </c>
      <c r="B172" s="2" t="s">
        <v>68</v>
      </c>
      <c r="C172" s="1">
        <v>4</v>
      </c>
      <c r="D172" s="2" t="s">
        <v>69</v>
      </c>
      <c r="E172" s="3">
        <v>1743100431</v>
      </c>
      <c r="F172" s="2" t="s">
        <v>270</v>
      </c>
      <c r="G172" s="17">
        <v>-320000</v>
      </c>
      <c r="H172" s="18">
        <v>-339787.59</v>
      </c>
      <c r="I172" s="17">
        <v>-320000</v>
      </c>
      <c r="J172" s="18">
        <v>-292222.08</v>
      </c>
      <c r="K172" s="17">
        <v>-320000</v>
      </c>
      <c r="L172" s="18">
        <v>-216611</v>
      </c>
      <c r="M172" s="17">
        <f>-'[1]סיכומים'!$E$36</f>
        <v>-310000</v>
      </c>
      <c r="R172" s="47">
        <f t="shared" si="23"/>
        <v>10000</v>
      </c>
    </row>
    <row r="173" spans="1:18" ht="15" customHeight="1" outlineLevel="4">
      <c r="A173" s="1">
        <v>20</v>
      </c>
      <c r="B173" s="2" t="s">
        <v>68</v>
      </c>
      <c r="C173" s="1">
        <v>7</v>
      </c>
      <c r="D173" s="2" t="s">
        <v>69</v>
      </c>
      <c r="E173" s="3">
        <v>1743100750</v>
      </c>
      <c r="F173" s="38" t="s">
        <v>271</v>
      </c>
      <c r="G173" s="17">
        <v>-245000</v>
      </c>
      <c r="H173" s="18">
        <v>-142246.07</v>
      </c>
      <c r="I173" s="17">
        <v>0</v>
      </c>
      <c r="J173" s="22"/>
      <c r="K173" s="17">
        <f>-235000+50000</f>
        <v>-185000</v>
      </c>
      <c r="L173" s="18">
        <v>-104361</v>
      </c>
      <c r="M173" s="46">
        <v>-303000</v>
      </c>
      <c r="R173" s="47">
        <f t="shared" si="23"/>
        <v>-118000</v>
      </c>
    </row>
    <row r="174" spans="1:18" ht="15" customHeight="1" outlineLevel="4">
      <c r="A174" s="1">
        <v>20</v>
      </c>
      <c r="B174" s="2" t="s">
        <v>68</v>
      </c>
      <c r="C174" s="1">
        <v>7</v>
      </c>
      <c r="D174" s="2" t="s">
        <v>69</v>
      </c>
      <c r="E174" s="3">
        <v>1745000810</v>
      </c>
      <c r="F174" s="2" t="s">
        <v>163</v>
      </c>
      <c r="G174" s="17">
        <v>-16000</v>
      </c>
      <c r="H174" s="18">
        <v>-17752</v>
      </c>
      <c r="I174" s="17">
        <v>-20000</v>
      </c>
      <c r="J174" s="18">
        <v>-18782</v>
      </c>
      <c r="K174" s="17">
        <v>-20000</v>
      </c>
      <c r="L174" s="18">
        <v>-20319</v>
      </c>
      <c r="M174" s="17">
        <v>-21000</v>
      </c>
      <c r="R174" s="47">
        <f t="shared" si="23"/>
        <v>-1000</v>
      </c>
    </row>
    <row r="175" spans="1:18" ht="15" customHeight="1" outlineLevel="4">
      <c r="A175" s="1">
        <v>20</v>
      </c>
      <c r="B175" s="2" t="s">
        <v>68</v>
      </c>
      <c r="C175" s="1">
        <v>4</v>
      </c>
      <c r="D175" s="2" t="s">
        <v>69</v>
      </c>
      <c r="E175" s="3">
        <v>1746000750</v>
      </c>
      <c r="F175" s="2" t="s">
        <v>164</v>
      </c>
      <c r="G175" s="17">
        <v>-640000</v>
      </c>
      <c r="H175" s="18">
        <v>-627284.8</v>
      </c>
      <c r="I175" s="17">
        <v>-753000</v>
      </c>
      <c r="J175" s="18">
        <v>-683387.3</v>
      </c>
      <c r="K175" s="17">
        <f>-719000-20000</f>
        <v>-739000</v>
      </c>
      <c r="L175" s="18">
        <v>-536361</v>
      </c>
      <c r="M175" s="17">
        <f>-'[1]סיכומים'!$E$9</f>
        <v>-769500</v>
      </c>
      <c r="R175" s="47">
        <f t="shared" si="23"/>
        <v>-30500</v>
      </c>
    </row>
    <row r="176" spans="1:18" ht="15" customHeight="1" outlineLevel="4">
      <c r="A176" s="1">
        <v>20</v>
      </c>
      <c r="B176" s="2" t="s">
        <v>68</v>
      </c>
      <c r="C176" s="1">
        <v>4</v>
      </c>
      <c r="D176" s="2" t="s">
        <v>69</v>
      </c>
      <c r="E176" s="36" t="s">
        <v>252</v>
      </c>
      <c r="F176" s="2" t="s">
        <v>257</v>
      </c>
      <c r="G176" s="17"/>
      <c r="H176" s="18"/>
      <c r="I176" s="17"/>
      <c r="J176" s="18"/>
      <c r="K176" s="17"/>
      <c r="L176" s="18"/>
      <c r="M176" s="17">
        <f>-4000*12</f>
        <v>-48000</v>
      </c>
      <c r="R176" s="47">
        <f t="shared" si="23"/>
        <v>-48000</v>
      </c>
    </row>
    <row r="177" spans="1:18" ht="15" customHeight="1" outlineLevel="4">
      <c r="A177" s="1">
        <v>20</v>
      </c>
      <c r="B177" s="2" t="s">
        <v>68</v>
      </c>
      <c r="C177" s="1">
        <v>4</v>
      </c>
      <c r="D177" s="2" t="s">
        <v>69</v>
      </c>
      <c r="E177" s="3">
        <v>1746000780</v>
      </c>
      <c r="F177" s="2" t="s">
        <v>165</v>
      </c>
      <c r="G177" s="17">
        <v>-85000</v>
      </c>
      <c r="H177" s="18">
        <v>-44388.7</v>
      </c>
      <c r="I177" s="17">
        <v>-30000</v>
      </c>
      <c r="J177" s="18">
        <v>-31969.38</v>
      </c>
      <c r="K177" s="17">
        <v>-30000</v>
      </c>
      <c r="L177" s="18">
        <v>-29185.41</v>
      </c>
      <c r="M177" s="17">
        <f>-'[1]סיכומים'!$E$10</f>
        <v>0</v>
      </c>
      <c r="R177" s="47">
        <f t="shared" si="23"/>
        <v>30000</v>
      </c>
    </row>
    <row r="178" spans="1:18" ht="15" customHeight="1" outlineLevel="4">
      <c r="A178" s="1">
        <v>20</v>
      </c>
      <c r="B178" s="2" t="s">
        <v>68</v>
      </c>
      <c r="C178" s="1">
        <v>4</v>
      </c>
      <c r="D178" s="2" t="s">
        <v>69</v>
      </c>
      <c r="E178" s="3">
        <v>1746100750</v>
      </c>
      <c r="F178" s="2" t="s">
        <v>269</v>
      </c>
      <c r="G178" s="17">
        <v>-1600000</v>
      </c>
      <c r="H178" s="18">
        <v>-1657398</v>
      </c>
      <c r="I178" s="17">
        <v>-1579000</v>
      </c>
      <c r="J178" s="18">
        <v>-1537711</v>
      </c>
      <c r="K178" s="17">
        <f>-1790000+50000</f>
        <v>-1740000</v>
      </c>
      <c r="L178" s="18">
        <v>-1401513</v>
      </c>
      <c r="M178" s="17">
        <f>-'[1]סיכומים'!$E$16</f>
        <v>-2010000</v>
      </c>
      <c r="R178" s="47">
        <f t="shared" si="23"/>
        <v>-270000</v>
      </c>
    </row>
    <row r="179" spans="1:18" ht="15" customHeight="1" outlineLevel="4">
      <c r="A179" s="1">
        <v>20</v>
      </c>
      <c r="B179" s="2" t="s">
        <v>68</v>
      </c>
      <c r="C179" s="1">
        <v>1</v>
      </c>
      <c r="D179" s="2" t="s">
        <v>69</v>
      </c>
      <c r="E179" s="3">
        <v>1769000440</v>
      </c>
      <c r="F179" s="2" t="s">
        <v>166</v>
      </c>
      <c r="G179" s="17">
        <v>-320000</v>
      </c>
      <c r="H179" s="18">
        <v>-503801</v>
      </c>
      <c r="I179" s="17">
        <v>-520000</v>
      </c>
      <c r="J179" s="18">
        <v>-864669.56</v>
      </c>
      <c r="K179" s="17">
        <v>-540000</v>
      </c>
      <c r="L179" s="18">
        <v>-47896</v>
      </c>
      <c r="M179" s="17">
        <v>-540000</v>
      </c>
      <c r="R179" s="47">
        <f t="shared" si="23"/>
        <v>0</v>
      </c>
    </row>
    <row r="180" spans="1:18" ht="15" customHeight="1" outlineLevel="4">
      <c r="A180" s="1">
        <v>20</v>
      </c>
      <c r="B180" s="2" t="s">
        <v>68</v>
      </c>
      <c r="C180" s="1">
        <v>5</v>
      </c>
      <c r="D180" s="2" t="s">
        <v>69</v>
      </c>
      <c r="E180" s="3">
        <v>1781000750</v>
      </c>
      <c r="F180" s="2" t="s">
        <v>167</v>
      </c>
      <c r="G180" s="17">
        <v>0</v>
      </c>
      <c r="H180" s="18">
        <v>0</v>
      </c>
      <c r="I180" s="17">
        <v>-350000</v>
      </c>
      <c r="J180" s="18">
        <v>-298755</v>
      </c>
      <c r="K180" s="17">
        <v>-350000</v>
      </c>
      <c r="L180" s="18">
        <v>-153020</v>
      </c>
      <c r="M180" s="17">
        <v>-350000</v>
      </c>
      <c r="R180" s="47">
        <f t="shared" si="23"/>
        <v>0</v>
      </c>
    </row>
    <row r="181" spans="1:18" ht="15" customHeight="1" outlineLevel="4">
      <c r="A181" s="1">
        <v>20</v>
      </c>
      <c r="B181" s="2" t="s">
        <v>68</v>
      </c>
      <c r="C181" s="1">
        <v>5</v>
      </c>
      <c r="D181" s="2" t="s">
        <v>69</v>
      </c>
      <c r="E181" s="3">
        <v>1781000780</v>
      </c>
      <c r="F181" s="2" t="s">
        <v>168</v>
      </c>
      <c r="G181" s="17">
        <v>0</v>
      </c>
      <c r="H181" s="18">
        <v>0</v>
      </c>
      <c r="I181" s="17">
        <v>-5000</v>
      </c>
      <c r="J181" s="18">
        <v>-3372.38</v>
      </c>
      <c r="K181" s="17">
        <v>-5000</v>
      </c>
      <c r="L181" s="18">
        <v>0</v>
      </c>
      <c r="M181" s="17">
        <f>-5000-5000</f>
        <v>-10000</v>
      </c>
      <c r="Q181" t="s">
        <v>287</v>
      </c>
      <c r="R181" s="47">
        <f t="shared" si="23"/>
        <v>-5000</v>
      </c>
    </row>
    <row r="182" spans="1:18" ht="15" customHeight="1" outlineLevel="4">
      <c r="A182" s="1">
        <v>20</v>
      </c>
      <c r="B182" s="2" t="s">
        <v>68</v>
      </c>
      <c r="C182" s="1">
        <v>5</v>
      </c>
      <c r="D182" s="2" t="s">
        <v>69</v>
      </c>
      <c r="E182" s="3">
        <v>1781000781</v>
      </c>
      <c r="F182" s="2" t="s">
        <v>169</v>
      </c>
      <c r="G182" s="17">
        <v>0</v>
      </c>
      <c r="H182" s="18">
        <v>0</v>
      </c>
      <c r="I182" s="17">
        <v>-10000</v>
      </c>
      <c r="J182" s="18">
        <v>-2821</v>
      </c>
      <c r="K182" s="17">
        <v>0</v>
      </c>
      <c r="L182" s="18">
        <v>0</v>
      </c>
      <c r="M182" s="17">
        <v>0</v>
      </c>
      <c r="R182" s="47">
        <f t="shared" si="23"/>
        <v>0</v>
      </c>
    </row>
    <row r="183" spans="1:18" ht="15" customHeight="1" outlineLevel="4">
      <c r="A183" s="1">
        <v>20</v>
      </c>
      <c r="B183" s="2" t="s">
        <v>68</v>
      </c>
      <c r="C183" s="1">
        <v>5</v>
      </c>
      <c r="D183" s="2" t="s">
        <v>69</v>
      </c>
      <c r="E183" s="3">
        <v>1781000940</v>
      </c>
      <c r="F183" s="2" t="s">
        <v>170</v>
      </c>
      <c r="G183" s="17">
        <v>-570000</v>
      </c>
      <c r="H183" s="18">
        <v>-341736.55</v>
      </c>
      <c r="I183" s="17">
        <v>-2000</v>
      </c>
      <c r="J183" s="18">
        <v>-1895</v>
      </c>
      <c r="K183" s="17">
        <v>-1000</v>
      </c>
      <c r="L183" s="18">
        <v>-745</v>
      </c>
      <c r="M183" s="17">
        <v>-2000</v>
      </c>
      <c r="R183" s="47">
        <f t="shared" si="23"/>
        <v>-1000</v>
      </c>
    </row>
    <row r="184" spans="1:18" ht="15" customHeight="1" outlineLevel="4">
      <c r="A184" s="1">
        <v>20</v>
      </c>
      <c r="B184" s="2" t="s">
        <v>68</v>
      </c>
      <c r="C184" s="1">
        <v>5</v>
      </c>
      <c r="D184" s="2" t="s">
        <v>69</v>
      </c>
      <c r="E184" s="3">
        <v>1781000941</v>
      </c>
      <c r="F184" s="2" t="s">
        <v>171</v>
      </c>
      <c r="G184" s="17">
        <v>0</v>
      </c>
      <c r="H184" s="18">
        <v>0</v>
      </c>
      <c r="I184" s="17">
        <v>-30000</v>
      </c>
      <c r="J184" s="18">
        <v>-25100.6</v>
      </c>
      <c r="K184" s="17">
        <v>-43000</v>
      </c>
      <c r="L184" s="18">
        <v>-14438</v>
      </c>
      <c r="M184" s="17">
        <v>-25000</v>
      </c>
      <c r="R184" s="47">
        <f t="shared" si="23"/>
        <v>18000</v>
      </c>
    </row>
    <row r="185" spans="1:18" ht="15" customHeight="1" outlineLevel="4">
      <c r="A185" s="1">
        <v>20</v>
      </c>
      <c r="B185" s="2" t="s">
        <v>68</v>
      </c>
      <c r="C185" s="1">
        <v>3</v>
      </c>
      <c r="D185" s="2" t="s">
        <v>69</v>
      </c>
      <c r="E185" s="3">
        <v>1822000780</v>
      </c>
      <c r="F185" s="2" t="s">
        <v>172</v>
      </c>
      <c r="G185" s="17">
        <v>-435000</v>
      </c>
      <c r="H185" s="18">
        <v>-432798.62</v>
      </c>
      <c r="I185" s="17">
        <v>-435000</v>
      </c>
      <c r="J185" s="18">
        <v>-439663</v>
      </c>
      <c r="K185" s="17">
        <v>-485000</v>
      </c>
      <c r="L185" s="18">
        <v>-446327</v>
      </c>
      <c r="M185" s="17">
        <f>-455000+20000</f>
        <v>-435000</v>
      </c>
      <c r="R185" s="47">
        <f t="shared" si="23"/>
        <v>50000</v>
      </c>
    </row>
    <row r="186" spans="1:18" ht="15" customHeight="1" outlineLevel="4">
      <c r="A186" s="1">
        <v>20</v>
      </c>
      <c r="B186" s="2" t="s">
        <v>68</v>
      </c>
      <c r="C186" s="1">
        <v>3</v>
      </c>
      <c r="D186" s="2" t="s">
        <v>69</v>
      </c>
      <c r="E186" s="3">
        <v>1823000470</v>
      </c>
      <c r="F186" s="2" t="s">
        <v>173</v>
      </c>
      <c r="G186" s="17">
        <v>-26000</v>
      </c>
      <c r="H186" s="18">
        <v>-22010.21</v>
      </c>
      <c r="I186" s="17">
        <v>-26000</v>
      </c>
      <c r="J186" s="18">
        <v>-24511.52</v>
      </c>
      <c r="K186" s="17">
        <v>-26000</v>
      </c>
      <c r="L186" s="18">
        <v>-18667</v>
      </c>
      <c r="M186" s="17">
        <v>-26000</v>
      </c>
      <c r="Q186" s="47"/>
      <c r="R186" s="47">
        <f t="shared" si="23"/>
        <v>0</v>
      </c>
    </row>
    <row r="187" spans="1:18" ht="15" customHeight="1" outlineLevel="4">
      <c r="A187" s="1">
        <v>20</v>
      </c>
      <c r="B187" s="2" t="s">
        <v>68</v>
      </c>
      <c r="C187" s="1">
        <v>3</v>
      </c>
      <c r="D187" s="2" t="s">
        <v>69</v>
      </c>
      <c r="E187" s="3">
        <v>1823000780</v>
      </c>
      <c r="F187" s="2" t="s">
        <v>174</v>
      </c>
      <c r="G187" s="17">
        <v>-15000</v>
      </c>
      <c r="H187" s="18">
        <v>-8361</v>
      </c>
      <c r="I187" s="17">
        <v>-15000</v>
      </c>
      <c r="J187" s="18">
        <v>-10565.5</v>
      </c>
      <c r="K187" s="17">
        <v>-5000</v>
      </c>
      <c r="L187" s="18">
        <v>-3830</v>
      </c>
      <c r="M187" s="17">
        <v>-5000</v>
      </c>
      <c r="Q187" s="47"/>
      <c r="R187" s="47">
        <f t="shared" si="23"/>
        <v>0</v>
      </c>
    </row>
    <row r="188" spans="1:18" ht="15" customHeight="1" outlineLevel="4">
      <c r="A188" s="1">
        <v>20</v>
      </c>
      <c r="B188" s="2" t="s">
        <v>68</v>
      </c>
      <c r="C188" s="1">
        <v>3</v>
      </c>
      <c r="D188" s="2" t="s">
        <v>69</v>
      </c>
      <c r="E188" s="3">
        <v>1824000430</v>
      </c>
      <c r="F188" s="2" t="s">
        <v>175</v>
      </c>
      <c r="G188" s="17">
        <v>-300000</v>
      </c>
      <c r="H188" s="18">
        <v>-247395.48</v>
      </c>
      <c r="I188" s="17">
        <v>-250000</v>
      </c>
      <c r="J188" s="18">
        <v>-225848.4</v>
      </c>
      <c r="K188" s="17">
        <v>-230000</v>
      </c>
      <c r="L188" s="18">
        <v>-161121</v>
      </c>
      <c r="M188" s="17">
        <v>-230000</v>
      </c>
      <c r="Q188" s="47"/>
      <c r="R188" s="47">
        <f t="shared" si="23"/>
        <v>0</v>
      </c>
    </row>
    <row r="189" spans="1:18" ht="15" customHeight="1" outlineLevel="4">
      <c r="A189" s="1">
        <v>20</v>
      </c>
      <c r="B189" s="2" t="s">
        <v>68</v>
      </c>
      <c r="C189" s="1">
        <v>3</v>
      </c>
      <c r="D189" s="2" t="s">
        <v>69</v>
      </c>
      <c r="E189" s="3">
        <v>1824000750</v>
      </c>
      <c r="F189" s="2" t="s">
        <v>176</v>
      </c>
      <c r="G189" s="17">
        <v>-25000</v>
      </c>
      <c r="H189" s="18">
        <v>-23652</v>
      </c>
      <c r="I189" s="17">
        <v>-15000</v>
      </c>
      <c r="J189" s="18">
        <v>-8373</v>
      </c>
      <c r="K189" s="17">
        <v>-5000</v>
      </c>
      <c r="L189" s="18">
        <v>-2260</v>
      </c>
      <c r="M189" s="17">
        <v>-5000</v>
      </c>
      <c r="Q189" s="47"/>
      <c r="R189" s="47">
        <f t="shared" si="23"/>
        <v>0</v>
      </c>
    </row>
    <row r="190" spans="1:18" ht="15" customHeight="1" outlineLevel="4">
      <c r="A190" s="1">
        <v>20</v>
      </c>
      <c r="B190" s="2" t="s">
        <v>68</v>
      </c>
      <c r="C190" s="1">
        <v>3</v>
      </c>
      <c r="D190" s="2" t="s">
        <v>69</v>
      </c>
      <c r="E190" s="3">
        <v>1824200750</v>
      </c>
      <c r="F190" s="2" t="s">
        <v>177</v>
      </c>
      <c r="G190" s="17">
        <v>-2456000</v>
      </c>
      <c r="H190" s="18">
        <v>-2321718.88</v>
      </c>
      <c r="I190" s="17">
        <v>-2206000</v>
      </c>
      <c r="J190" s="18">
        <v>-2253865.08</v>
      </c>
      <c r="K190" s="17">
        <v>-1970000</v>
      </c>
      <c r="L190" s="18">
        <v>-1617910</v>
      </c>
      <c r="M190" s="17">
        <f>-2028000+76000</f>
        <v>-1952000</v>
      </c>
      <c r="R190" s="47">
        <f t="shared" si="23"/>
        <v>18000</v>
      </c>
    </row>
    <row r="191" spans="1:18" ht="15" customHeight="1" outlineLevel="4">
      <c r="A191" s="1">
        <v>20</v>
      </c>
      <c r="B191" s="2" t="s">
        <v>68</v>
      </c>
      <c r="C191" s="1">
        <v>3</v>
      </c>
      <c r="D191" s="2" t="s">
        <v>69</v>
      </c>
      <c r="E191" s="3">
        <v>1824300480</v>
      </c>
      <c r="F191" s="2" t="s">
        <v>178</v>
      </c>
      <c r="G191" s="17">
        <v>-228000</v>
      </c>
      <c r="H191" s="18">
        <v>-227826.07</v>
      </c>
      <c r="I191" s="17">
        <v>-158000</v>
      </c>
      <c r="J191" s="18">
        <v>-154856</v>
      </c>
      <c r="K191" s="17">
        <v>0</v>
      </c>
      <c r="L191" s="18">
        <v>107.4</v>
      </c>
      <c r="M191" s="17">
        <v>0</v>
      </c>
      <c r="R191" s="47">
        <f t="shared" si="23"/>
        <v>0</v>
      </c>
    </row>
    <row r="192" spans="1:18" ht="15" customHeight="1" outlineLevel="4">
      <c r="A192" s="1">
        <v>20</v>
      </c>
      <c r="B192" s="2" t="s">
        <v>68</v>
      </c>
      <c r="C192" s="1">
        <v>3</v>
      </c>
      <c r="D192" s="2" t="s">
        <v>69</v>
      </c>
      <c r="E192" s="3">
        <v>1824300750</v>
      </c>
      <c r="F192" s="2" t="s">
        <v>179</v>
      </c>
      <c r="G192" s="17">
        <v>-100000</v>
      </c>
      <c r="H192" s="18">
        <v>-101958</v>
      </c>
      <c r="I192" s="17">
        <v>-50000</v>
      </c>
      <c r="J192" s="18">
        <v>-63478</v>
      </c>
      <c r="K192" s="17">
        <v>0</v>
      </c>
      <c r="L192" s="18">
        <v>0</v>
      </c>
      <c r="M192" s="17">
        <v>0</v>
      </c>
      <c r="R192" s="47">
        <f t="shared" si="23"/>
        <v>0</v>
      </c>
    </row>
    <row r="193" spans="1:18" ht="15" customHeight="1" outlineLevel="4">
      <c r="A193" s="1">
        <v>20</v>
      </c>
      <c r="B193" s="2" t="s">
        <v>68</v>
      </c>
      <c r="C193" s="1">
        <v>3</v>
      </c>
      <c r="D193" s="2" t="s">
        <v>69</v>
      </c>
      <c r="E193" s="3">
        <v>1824400430</v>
      </c>
      <c r="F193" s="2" t="s">
        <v>180</v>
      </c>
      <c r="G193" s="17">
        <v>-15000</v>
      </c>
      <c r="H193" s="18">
        <v>-7101.34</v>
      </c>
      <c r="I193" s="17">
        <v>0</v>
      </c>
      <c r="J193" s="18">
        <v>-2616.72</v>
      </c>
      <c r="K193" s="17">
        <v>0</v>
      </c>
      <c r="L193" s="18">
        <v>-1770</v>
      </c>
      <c r="M193" s="17">
        <v>0</v>
      </c>
      <c r="R193" s="47">
        <f t="shared" si="23"/>
        <v>0</v>
      </c>
    </row>
    <row r="194" spans="1:18" ht="15" customHeight="1" outlineLevel="4">
      <c r="A194" s="1">
        <v>20</v>
      </c>
      <c r="B194" s="2" t="s">
        <v>68</v>
      </c>
      <c r="C194" s="1">
        <v>3</v>
      </c>
      <c r="D194" s="2" t="s">
        <v>69</v>
      </c>
      <c r="E194" s="3">
        <v>1826000434</v>
      </c>
      <c r="F194" s="2" t="s">
        <v>181</v>
      </c>
      <c r="G194" s="17">
        <v>-400000</v>
      </c>
      <c r="H194" s="18">
        <v>-369042.68</v>
      </c>
      <c r="I194" s="17">
        <v>-380000</v>
      </c>
      <c r="J194" s="18">
        <v>-376471</v>
      </c>
      <c r="K194" s="17">
        <v>-380000</v>
      </c>
      <c r="L194" s="18">
        <v>-269791</v>
      </c>
      <c r="M194" s="17">
        <v>-380000</v>
      </c>
      <c r="R194" s="47">
        <f t="shared" si="23"/>
        <v>0</v>
      </c>
    </row>
    <row r="195" spans="1:18" ht="15" customHeight="1" outlineLevel="4">
      <c r="A195" s="1">
        <v>20</v>
      </c>
      <c r="B195" s="2" t="s">
        <v>68</v>
      </c>
      <c r="C195" s="1">
        <v>3</v>
      </c>
      <c r="D195" s="2" t="s">
        <v>69</v>
      </c>
      <c r="E195" s="3">
        <v>1826000470</v>
      </c>
      <c r="F195" s="2" t="s">
        <v>182</v>
      </c>
      <c r="G195" s="17">
        <v>-200000</v>
      </c>
      <c r="H195" s="18">
        <v>-176735.42</v>
      </c>
      <c r="I195" s="17">
        <v>-170000</v>
      </c>
      <c r="J195" s="18">
        <v>-170561.49</v>
      </c>
      <c r="K195" s="17">
        <v>-130000</v>
      </c>
      <c r="L195" s="18">
        <v>-122093</v>
      </c>
      <c r="M195" s="17">
        <f>-130000-10000</f>
        <v>-140000</v>
      </c>
      <c r="R195" s="47">
        <f t="shared" si="23"/>
        <v>-10000</v>
      </c>
    </row>
    <row r="196" spans="1:18" ht="15" customHeight="1" outlineLevel="4">
      <c r="A196" s="1">
        <v>20</v>
      </c>
      <c r="B196" s="2" t="s">
        <v>68</v>
      </c>
      <c r="C196" s="1">
        <v>3</v>
      </c>
      <c r="D196" s="26" t="s">
        <v>194</v>
      </c>
      <c r="E196" s="3">
        <v>1826000780</v>
      </c>
      <c r="F196" s="26" t="s">
        <v>254</v>
      </c>
      <c r="G196" s="17">
        <v>0</v>
      </c>
      <c r="H196" s="18">
        <v>0</v>
      </c>
      <c r="I196" s="17">
        <v>0</v>
      </c>
      <c r="J196" s="18">
        <v>0</v>
      </c>
      <c r="K196" s="17">
        <v>0</v>
      </c>
      <c r="L196" s="57">
        <v>-162322</v>
      </c>
      <c r="M196" s="56">
        <v>-515000</v>
      </c>
      <c r="R196" s="47">
        <f t="shared" si="23"/>
        <v>-515000</v>
      </c>
    </row>
    <row r="197" spans="1:18" ht="15" customHeight="1" outlineLevel="4">
      <c r="A197" s="1">
        <v>20</v>
      </c>
      <c r="B197" s="2" t="s">
        <v>68</v>
      </c>
      <c r="C197" s="1">
        <v>3</v>
      </c>
      <c r="D197" s="2" t="s">
        <v>69</v>
      </c>
      <c r="E197" s="3">
        <v>1826100780</v>
      </c>
      <c r="F197" s="2" t="s">
        <v>183</v>
      </c>
      <c r="G197" s="17">
        <v>-200000</v>
      </c>
      <c r="H197" s="18">
        <v>-148591.4</v>
      </c>
      <c r="I197" s="17">
        <v>-185000</v>
      </c>
      <c r="J197" s="18">
        <v>-184696.77</v>
      </c>
      <c r="K197" s="17">
        <v>-75000</v>
      </c>
      <c r="L197" s="18">
        <v>-56064</v>
      </c>
      <c r="M197" s="17">
        <v>-101000</v>
      </c>
      <c r="R197" s="47">
        <f t="shared" si="23"/>
        <v>-26000</v>
      </c>
    </row>
    <row r="198" spans="1:18" ht="15" customHeight="1" outlineLevel="4">
      <c r="A198" s="1">
        <v>20</v>
      </c>
      <c r="B198" s="2" t="s">
        <v>68</v>
      </c>
      <c r="C198" s="1">
        <v>3</v>
      </c>
      <c r="D198" s="2" t="s">
        <v>69</v>
      </c>
      <c r="E198" s="3">
        <v>1826400480</v>
      </c>
      <c r="F198" s="2" t="s">
        <v>184</v>
      </c>
      <c r="G198" s="17">
        <v>-225000</v>
      </c>
      <c r="H198" s="18">
        <v>-217096.03</v>
      </c>
      <c r="I198" s="17">
        <v>-225000</v>
      </c>
      <c r="J198" s="18">
        <v>-217380.4</v>
      </c>
      <c r="K198" s="17">
        <v>-170000</v>
      </c>
      <c r="L198" s="18">
        <v>-119133</v>
      </c>
      <c r="M198" s="17">
        <f>-170000+4000</f>
        <v>-166000</v>
      </c>
      <c r="R198" s="47">
        <f t="shared" si="23"/>
        <v>4000</v>
      </c>
    </row>
    <row r="199" spans="1:18" ht="15" customHeight="1" outlineLevel="4">
      <c r="A199" s="1">
        <v>20</v>
      </c>
      <c r="B199" s="2" t="s">
        <v>68</v>
      </c>
      <c r="C199" s="1">
        <v>3</v>
      </c>
      <c r="D199" s="2" t="s">
        <v>69</v>
      </c>
      <c r="E199" s="3">
        <v>1826400530</v>
      </c>
      <c r="F199" s="2" t="s">
        <v>185</v>
      </c>
      <c r="G199" s="17">
        <v>-65000</v>
      </c>
      <c r="H199" s="18">
        <v>-55896.59</v>
      </c>
      <c r="I199" s="17">
        <v>-65000</v>
      </c>
      <c r="J199" s="18">
        <v>-49922.84</v>
      </c>
      <c r="K199" s="17">
        <v>-60000</v>
      </c>
      <c r="L199" s="18">
        <v>-40380</v>
      </c>
      <c r="M199" s="17">
        <v>-60000</v>
      </c>
      <c r="R199" s="47">
        <f t="shared" si="23"/>
        <v>0</v>
      </c>
    </row>
    <row r="200" spans="1:18" ht="15" customHeight="1" outlineLevel="4">
      <c r="A200" s="1">
        <v>20</v>
      </c>
      <c r="B200" s="2" t="s">
        <v>68</v>
      </c>
      <c r="C200" s="1">
        <v>3</v>
      </c>
      <c r="D200" s="2" t="s">
        <v>69</v>
      </c>
      <c r="E200" s="3">
        <v>1826400550</v>
      </c>
      <c r="F200" s="2" t="s">
        <v>186</v>
      </c>
      <c r="G200" s="17">
        <v>-60000</v>
      </c>
      <c r="H200" s="18">
        <v>-56773.7</v>
      </c>
      <c r="I200" s="17">
        <v>-30000</v>
      </c>
      <c r="J200" s="18">
        <v>-29981.3</v>
      </c>
      <c r="K200" s="17">
        <v>-30000</v>
      </c>
      <c r="L200" s="18">
        <v>-10745</v>
      </c>
      <c r="M200" s="17">
        <v>-30000</v>
      </c>
      <c r="R200" s="47">
        <f t="shared" si="23"/>
        <v>0</v>
      </c>
    </row>
    <row r="201" spans="1:18" ht="15" customHeight="1" outlineLevel="4">
      <c r="A201" s="1">
        <v>20</v>
      </c>
      <c r="B201" s="2" t="s">
        <v>68</v>
      </c>
      <c r="C201" s="1">
        <v>3</v>
      </c>
      <c r="D201" s="2" t="s">
        <v>69</v>
      </c>
      <c r="E201" s="3">
        <v>1826400780</v>
      </c>
      <c r="F201" s="2" t="s">
        <v>187</v>
      </c>
      <c r="G201" s="17">
        <v>-1100000</v>
      </c>
      <c r="H201" s="18">
        <v>-1066404.4</v>
      </c>
      <c r="I201" s="17">
        <v>-850000</v>
      </c>
      <c r="J201" s="18">
        <v>-779560.84</v>
      </c>
      <c r="K201" s="17">
        <v>-780000</v>
      </c>
      <c r="L201" s="18">
        <v>-473472</v>
      </c>
      <c r="M201" s="17">
        <f>-780000-40000</f>
        <v>-820000</v>
      </c>
      <c r="R201" s="47">
        <f t="shared" si="23"/>
        <v>-40000</v>
      </c>
    </row>
    <row r="202" spans="1:18" ht="15" customHeight="1" outlineLevel="4">
      <c r="A202" s="1">
        <v>20</v>
      </c>
      <c r="B202" s="2" t="s">
        <v>68</v>
      </c>
      <c r="C202" s="1">
        <v>2</v>
      </c>
      <c r="D202" s="2" t="s">
        <v>69</v>
      </c>
      <c r="E202" s="3">
        <v>1828000781</v>
      </c>
      <c r="F202" s="2" t="s">
        <v>188</v>
      </c>
      <c r="G202" s="17">
        <v>0</v>
      </c>
      <c r="H202" s="18">
        <v>-20755.5</v>
      </c>
      <c r="I202" s="56">
        <v>-50000</v>
      </c>
      <c r="J202" s="18">
        <v>-25875.03</v>
      </c>
      <c r="K202" s="17">
        <v>-34000</v>
      </c>
      <c r="L202" s="18">
        <v>-7954</v>
      </c>
      <c r="M202" s="56">
        <v>-34000</v>
      </c>
      <c r="R202" s="47">
        <f t="shared" si="23"/>
        <v>0</v>
      </c>
    </row>
    <row r="203" spans="1:18" ht="15" customHeight="1" outlineLevel="4">
      <c r="A203" s="1">
        <v>20</v>
      </c>
      <c r="B203" s="2" t="s">
        <v>68</v>
      </c>
      <c r="C203" s="1">
        <v>2</v>
      </c>
      <c r="D203" s="2" t="s">
        <v>69</v>
      </c>
      <c r="E203" s="3">
        <v>1828000782</v>
      </c>
      <c r="F203" s="2" t="s">
        <v>189</v>
      </c>
      <c r="G203" s="56">
        <v>-30000</v>
      </c>
      <c r="H203" s="18">
        <v>-649</v>
      </c>
      <c r="I203" s="56">
        <v>0</v>
      </c>
      <c r="J203" s="22"/>
      <c r="K203" s="17">
        <f>-30000+25000</f>
        <v>-5000</v>
      </c>
      <c r="L203" s="18">
        <v>-3208.75</v>
      </c>
      <c r="M203" s="56">
        <v>-30000</v>
      </c>
      <c r="R203" s="47">
        <f t="shared" si="23"/>
        <v>-25000</v>
      </c>
    </row>
    <row r="204" spans="1:18" ht="15" customHeight="1" outlineLevel="4">
      <c r="A204" s="1">
        <v>20</v>
      </c>
      <c r="B204" s="2" t="s">
        <v>68</v>
      </c>
      <c r="C204" s="1">
        <v>2</v>
      </c>
      <c r="D204" s="2" t="s">
        <v>69</v>
      </c>
      <c r="E204" s="3">
        <v>1828000810</v>
      </c>
      <c r="F204" s="2" t="s">
        <v>190</v>
      </c>
      <c r="G204" s="56">
        <v>-515000</v>
      </c>
      <c r="H204" s="18">
        <v>-515000.04</v>
      </c>
      <c r="I204" s="56">
        <v>-340000</v>
      </c>
      <c r="J204" s="18">
        <v>-340000.04</v>
      </c>
      <c r="K204" s="17">
        <v>-140000</v>
      </c>
      <c r="L204" s="18">
        <v>-68750</v>
      </c>
      <c r="M204" s="56">
        <v>-140000</v>
      </c>
      <c r="R204" s="47">
        <f t="shared" si="23"/>
        <v>0</v>
      </c>
    </row>
    <row r="205" spans="1:18" ht="15" customHeight="1" outlineLevel="4">
      <c r="A205" s="1">
        <v>20</v>
      </c>
      <c r="B205" s="2" t="s">
        <v>68</v>
      </c>
      <c r="C205" s="1">
        <v>1</v>
      </c>
      <c r="D205" s="2" t="s">
        <v>69</v>
      </c>
      <c r="E205" s="3">
        <v>1836000830</v>
      </c>
      <c r="F205" s="2" t="s">
        <v>191</v>
      </c>
      <c r="G205" s="17">
        <v>-4000</v>
      </c>
      <c r="H205" s="18">
        <v>-3559</v>
      </c>
      <c r="I205" s="17">
        <v>-4000</v>
      </c>
      <c r="J205" s="18">
        <v>-3615</v>
      </c>
      <c r="K205" s="17">
        <v>-4000</v>
      </c>
      <c r="L205" s="18">
        <v>-2762</v>
      </c>
      <c r="M205" s="17">
        <v>-4000</v>
      </c>
      <c r="R205" s="47">
        <f t="shared" si="23"/>
        <v>0</v>
      </c>
    </row>
    <row r="206" spans="1:18" ht="15" customHeight="1" outlineLevel="4">
      <c r="A206" s="1">
        <v>20</v>
      </c>
      <c r="B206" s="2" t="s">
        <v>68</v>
      </c>
      <c r="C206" s="1">
        <v>1</v>
      </c>
      <c r="D206" s="2" t="s">
        <v>69</v>
      </c>
      <c r="E206" s="3">
        <v>1851000810</v>
      </c>
      <c r="F206" s="2" t="s">
        <v>192</v>
      </c>
      <c r="G206" s="17">
        <v>-550000</v>
      </c>
      <c r="H206" s="18">
        <v>-541632.06</v>
      </c>
      <c r="I206" s="17">
        <v>-550000</v>
      </c>
      <c r="J206" s="18">
        <v>-544857</v>
      </c>
      <c r="K206" s="17">
        <v>-544000</v>
      </c>
      <c r="L206" s="18">
        <v>-404132</v>
      </c>
      <c r="M206" s="17">
        <v>-544000</v>
      </c>
      <c r="R206" s="47">
        <f t="shared" si="23"/>
        <v>0</v>
      </c>
    </row>
    <row r="207" spans="1:18" ht="15" customHeight="1" outlineLevel="4">
      <c r="A207" s="1">
        <v>20</v>
      </c>
      <c r="B207" s="2" t="s">
        <v>68</v>
      </c>
      <c r="C207" s="1">
        <v>1</v>
      </c>
      <c r="D207" s="2" t="s">
        <v>69</v>
      </c>
      <c r="E207" s="3">
        <v>1999000970</v>
      </c>
      <c r="F207" s="2" t="s">
        <v>193</v>
      </c>
      <c r="G207" s="17">
        <v>-30000</v>
      </c>
      <c r="H207" s="18">
        <v>-13437</v>
      </c>
      <c r="I207" s="17">
        <v>-30000</v>
      </c>
      <c r="J207" s="18">
        <v>-12391</v>
      </c>
      <c r="K207" s="17">
        <v>-30000</v>
      </c>
      <c r="L207" s="18"/>
      <c r="M207" s="17">
        <v>-30000</v>
      </c>
      <c r="R207" s="47">
        <f t="shared" si="23"/>
        <v>0</v>
      </c>
    </row>
    <row r="208" spans="1:18" s="7" customFormat="1" ht="15" customHeight="1" outlineLevel="3">
      <c r="A208" s="11"/>
      <c r="B208" s="9"/>
      <c r="C208" s="11"/>
      <c r="D208" s="9"/>
      <c r="E208" s="10"/>
      <c r="F208" s="9"/>
      <c r="G208" s="19">
        <f aca="true" t="shared" si="24" ref="G208:M208">SUBTOTAL(9,G106:G207)</f>
        <v>-25742000</v>
      </c>
      <c r="H208" s="20">
        <f t="shared" si="24"/>
        <v>-22676056.999999996</v>
      </c>
      <c r="I208" s="19">
        <f t="shared" si="24"/>
        <v>-22332000</v>
      </c>
      <c r="J208" s="20">
        <f t="shared" si="24"/>
        <v>-21073894.52</v>
      </c>
      <c r="K208" s="19">
        <f t="shared" si="24"/>
        <v>-22299000</v>
      </c>
      <c r="L208" s="20">
        <f t="shared" si="24"/>
        <v>-14041739.78</v>
      </c>
      <c r="M208" s="19">
        <f t="shared" si="24"/>
        <v>-23777000</v>
      </c>
      <c r="R208" s="19">
        <f>SUBTOTAL(9,R106:R207)</f>
        <v>-1448000</v>
      </c>
    </row>
    <row r="209" spans="1:18" s="7" customFormat="1" ht="15" customHeight="1" outlineLevel="2">
      <c r="A209" s="11"/>
      <c r="B209" s="9"/>
      <c r="C209" s="11"/>
      <c r="D209" s="12" t="s">
        <v>242</v>
      </c>
      <c r="E209" s="10"/>
      <c r="F209" s="9"/>
      <c r="G209" s="19">
        <f aca="true" t="shared" si="25" ref="G209:M209">SUBTOTAL(9,G69:G207)</f>
        <v>-32379000</v>
      </c>
      <c r="H209" s="20">
        <f t="shared" si="25"/>
        <v>-29081985.43</v>
      </c>
      <c r="I209" s="19">
        <f t="shared" si="25"/>
        <v>-29406000</v>
      </c>
      <c r="J209" s="20">
        <f t="shared" si="25"/>
        <v>-27633292.98999999</v>
      </c>
      <c r="K209" s="19">
        <f t="shared" si="25"/>
        <v>-29188000</v>
      </c>
      <c r="L209" s="20">
        <f t="shared" si="25"/>
        <v>-19807203.78</v>
      </c>
      <c r="M209" s="19">
        <f t="shared" si="25"/>
        <v>-31273000</v>
      </c>
      <c r="R209" s="19">
        <f>SUBTOTAL(9,R69:R207)</f>
        <v>-2055000</v>
      </c>
    </row>
    <row r="210" spans="1:18" ht="15" customHeight="1" outlineLevel="4">
      <c r="A210" s="1">
        <v>20</v>
      </c>
      <c r="B210" s="2" t="s">
        <v>68</v>
      </c>
      <c r="C210" s="1">
        <v>2</v>
      </c>
      <c r="D210" s="2" t="s">
        <v>194</v>
      </c>
      <c r="E210" s="3">
        <v>1812000110</v>
      </c>
      <c r="F210" s="2" t="s">
        <v>195</v>
      </c>
      <c r="G210" s="56">
        <v>-265000</v>
      </c>
      <c r="H210" s="18">
        <v>0</v>
      </c>
      <c r="I210" s="17">
        <v>-338000</v>
      </c>
      <c r="J210" s="18">
        <v>0</v>
      </c>
      <c r="K210" s="17">
        <v>0</v>
      </c>
      <c r="L210" s="18">
        <v>-22549</v>
      </c>
      <c r="M210" s="17">
        <v>0</v>
      </c>
      <c r="R210" s="47">
        <f>M210-K210</f>
        <v>0</v>
      </c>
    </row>
    <row r="211" spans="1:18" ht="15" customHeight="1" outlineLevel="4">
      <c r="A211" s="1">
        <v>20</v>
      </c>
      <c r="B211" s="26" t="s">
        <v>68</v>
      </c>
      <c r="C211" s="1">
        <v>2</v>
      </c>
      <c r="D211" s="26" t="s">
        <v>194</v>
      </c>
      <c r="E211" s="1" t="s">
        <v>252</v>
      </c>
      <c r="F211" s="26" t="s">
        <v>253</v>
      </c>
      <c r="G211" s="17">
        <v>0</v>
      </c>
      <c r="H211" s="18">
        <v>0</v>
      </c>
      <c r="I211" s="17">
        <v>0</v>
      </c>
      <c r="J211" s="18">
        <v>0</v>
      </c>
      <c r="K211" s="17">
        <v>0</v>
      </c>
      <c r="L211" s="18">
        <v>0</v>
      </c>
      <c r="M211" s="17">
        <v>0</v>
      </c>
      <c r="R211" s="47">
        <f>M211-K211</f>
        <v>0</v>
      </c>
    </row>
    <row r="212" spans="1:18" ht="15" customHeight="1" outlineLevel="4">
      <c r="A212" s="1">
        <v>20</v>
      </c>
      <c r="B212" s="2" t="s">
        <v>68</v>
      </c>
      <c r="C212" s="1">
        <v>2</v>
      </c>
      <c r="D212" s="2" t="s">
        <v>194</v>
      </c>
      <c r="E212" s="3">
        <v>1817100110</v>
      </c>
      <c r="F212" s="2" t="s">
        <v>196</v>
      </c>
      <c r="G212" s="17">
        <v>-62000</v>
      </c>
      <c r="H212" s="18">
        <v>-55471.37</v>
      </c>
      <c r="I212" s="17">
        <v>-56000</v>
      </c>
      <c r="J212" s="18">
        <v>-63359.05</v>
      </c>
      <c r="K212" s="17">
        <v>-45000</v>
      </c>
      <c r="L212" s="18">
        <v>-58384</v>
      </c>
      <c r="M212" s="17">
        <v>-75000</v>
      </c>
      <c r="R212" s="47">
        <f>M212-K212</f>
        <v>-30000</v>
      </c>
    </row>
    <row r="213" spans="1:18" ht="15" customHeight="1" outlineLevel="4">
      <c r="A213" s="1">
        <v>20</v>
      </c>
      <c r="B213" s="2" t="s">
        <v>68</v>
      </c>
      <c r="C213" s="1">
        <v>2</v>
      </c>
      <c r="D213" s="2" t="s">
        <v>194</v>
      </c>
      <c r="E213" s="3">
        <v>1817300110</v>
      </c>
      <c r="F213" s="2" t="s">
        <v>197</v>
      </c>
      <c r="G213" s="17">
        <v>-222000</v>
      </c>
      <c r="H213" s="18">
        <v>-218562.98</v>
      </c>
      <c r="I213" s="17">
        <v>-217000</v>
      </c>
      <c r="J213" s="18">
        <v>-241837.73</v>
      </c>
      <c r="K213" s="17">
        <v>-280000</v>
      </c>
      <c r="L213" s="18">
        <v>-169799</v>
      </c>
      <c r="M213" s="17">
        <f>-220000-56000</f>
        <v>-276000</v>
      </c>
      <c r="R213" s="47">
        <f>M213-K213</f>
        <v>4000</v>
      </c>
    </row>
    <row r="214" spans="1:18" s="7" customFormat="1" ht="15" customHeight="1" outlineLevel="3">
      <c r="A214" s="11"/>
      <c r="B214" s="9"/>
      <c r="C214" s="11"/>
      <c r="D214" s="9"/>
      <c r="E214" s="10"/>
      <c r="F214" s="9"/>
      <c r="G214" s="19">
        <f aca="true" t="shared" si="26" ref="G214:M214">SUBTOTAL(9,G210:G213)</f>
        <v>-549000</v>
      </c>
      <c r="H214" s="20">
        <f t="shared" si="26"/>
        <v>-274034.35000000003</v>
      </c>
      <c r="I214" s="19">
        <f t="shared" si="26"/>
        <v>-611000</v>
      </c>
      <c r="J214" s="20">
        <f t="shared" si="26"/>
        <v>-305196.78</v>
      </c>
      <c r="K214" s="19">
        <f t="shared" si="26"/>
        <v>-325000</v>
      </c>
      <c r="L214" s="20">
        <f t="shared" si="26"/>
        <v>-250732</v>
      </c>
      <c r="M214" s="19">
        <f t="shared" si="26"/>
        <v>-351000</v>
      </c>
      <c r="R214" s="19">
        <f>SUBTOTAL(9,R210:R213)</f>
        <v>-26000</v>
      </c>
    </row>
    <row r="215" spans="1:18" ht="15" customHeight="1" outlineLevel="4">
      <c r="A215" s="1">
        <v>20</v>
      </c>
      <c r="B215" s="2" t="s">
        <v>68</v>
      </c>
      <c r="C215" s="1">
        <v>2</v>
      </c>
      <c r="D215" s="2" t="s">
        <v>194</v>
      </c>
      <c r="E215" s="3">
        <v>1812200752</v>
      </c>
      <c r="F215" s="2" t="s">
        <v>198</v>
      </c>
      <c r="G215" s="17">
        <v>-214000</v>
      </c>
      <c r="H215" s="18">
        <v>-168639.43</v>
      </c>
      <c r="I215" s="17">
        <v>-402000</v>
      </c>
      <c r="J215" s="18">
        <v>-188355.93</v>
      </c>
      <c r="K215" s="17">
        <v>-308000</v>
      </c>
      <c r="L215" s="18">
        <v>-127643</v>
      </c>
      <c r="M215" s="17">
        <v>-53000</v>
      </c>
      <c r="R215" s="47">
        <f aca="true" t="shared" si="27" ref="R215:R229">M215-K215</f>
        <v>255000</v>
      </c>
    </row>
    <row r="216" spans="1:18" ht="15" customHeight="1" outlineLevel="4">
      <c r="A216" s="1">
        <v>20</v>
      </c>
      <c r="B216" s="2" t="s">
        <v>68</v>
      </c>
      <c r="C216" s="1">
        <v>2</v>
      </c>
      <c r="D216" s="2" t="s">
        <v>194</v>
      </c>
      <c r="E216" s="3">
        <v>1812300810</v>
      </c>
      <c r="F216" s="2" t="s">
        <v>199</v>
      </c>
      <c r="G216" s="17">
        <v>-104000</v>
      </c>
      <c r="H216" s="18">
        <v>-103999.96</v>
      </c>
      <c r="I216" s="17">
        <v>-70000</v>
      </c>
      <c r="J216" s="18">
        <v>-69999.98</v>
      </c>
      <c r="K216" s="17">
        <v>-474000</v>
      </c>
      <c r="L216" s="18">
        <v>-660750</v>
      </c>
      <c r="M216" s="17">
        <f>-903000</f>
        <v>-903000</v>
      </c>
      <c r="R216" s="47">
        <f t="shared" si="27"/>
        <v>-429000</v>
      </c>
    </row>
    <row r="217" spans="1:18" ht="15" customHeight="1" outlineLevel="4">
      <c r="A217" s="1">
        <v>20</v>
      </c>
      <c r="B217" s="2" t="s">
        <v>68</v>
      </c>
      <c r="C217" s="1">
        <v>2</v>
      </c>
      <c r="D217" s="2" t="s">
        <v>194</v>
      </c>
      <c r="E217" s="3">
        <v>1812300811</v>
      </c>
      <c r="F217" s="2" t="s">
        <v>200</v>
      </c>
      <c r="G217" s="17">
        <v>-549000</v>
      </c>
      <c r="H217" s="18">
        <v>-675296.6</v>
      </c>
      <c r="I217" s="17">
        <v>-134000</v>
      </c>
      <c r="J217" s="18">
        <v>-687936.92</v>
      </c>
      <c r="K217" s="17">
        <v>-955000</v>
      </c>
      <c r="L217" s="18">
        <v>-433579</v>
      </c>
      <c r="M217" s="17">
        <f>-811000-M215</f>
        <v>-758000</v>
      </c>
      <c r="R217" s="47">
        <f t="shared" si="27"/>
        <v>197000</v>
      </c>
    </row>
    <row r="218" spans="1:18" ht="15" customHeight="1" outlineLevel="4">
      <c r="A218" s="1">
        <v>20</v>
      </c>
      <c r="B218" s="2" t="s">
        <v>68</v>
      </c>
      <c r="C218" s="1">
        <v>2</v>
      </c>
      <c r="D218" s="2" t="s">
        <v>194</v>
      </c>
      <c r="E218" s="3">
        <v>1812300812</v>
      </c>
      <c r="F218" s="2" t="s">
        <v>201</v>
      </c>
      <c r="G218" s="17">
        <v>0</v>
      </c>
      <c r="H218" s="18">
        <v>0</v>
      </c>
      <c r="I218" s="17">
        <v>0</v>
      </c>
      <c r="J218" s="18">
        <v>-16871.02</v>
      </c>
      <c r="K218" s="17">
        <v>0</v>
      </c>
      <c r="L218" s="18">
        <v>-24904</v>
      </c>
      <c r="M218" s="17">
        <v>-35000</v>
      </c>
      <c r="R218" s="47">
        <f t="shared" si="27"/>
        <v>-35000</v>
      </c>
    </row>
    <row r="219" spans="1:18" ht="24.75" customHeight="1" outlineLevel="4">
      <c r="A219" s="1">
        <v>20</v>
      </c>
      <c r="B219" s="2" t="s">
        <v>68</v>
      </c>
      <c r="C219" s="1">
        <v>2</v>
      </c>
      <c r="D219" s="2" t="s">
        <v>194</v>
      </c>
      <c r="E219" s="3">
        <v>1812300813</v>
      </c>
      <c r="F219" s="2" t="s">
        <v>202</v>
      </c>
      <c r="G219" s="17">
        <v>0</v>
      </c>
      <c r="H219" s="18">
        <v>0</v>
      </c>
      <c r="I219" s="17">
        <v>0</v>
      </c>
      <c r="J219" s="18">
        <v>-39365.7</v>
      </c>
      <c r="K219" s="17">
        <v>0</v>
      </c>
      <c r="L219" s="18">
        <v>-58109</v>
      </c>
      <c r="M219" s="17">
        <v>-83000</v>
      </c>
      <c r="R219" s="47">
        <f t="shared" si="27"/>
        <v>-83000</v>
      </c>
    </row>
    <row r="220" spans="1:20" ht="22.5" customHeight="1" outlineLevel="4">
      <c r="A220" s="1">
        <v>20</v>
      </c>
      <c r="B220" s="2" t="s">
        <v>68</v>
      </c>
      <c r="C220" s="1">
        <v>2</v>
      </c>
      <c r="D220" s="2" t="s">
        <v>194</v>
      </c>
      <c r="E220" s="3">
        <v>1813200810</v>
      </c>
      <c r="F220" s="2" t="s">
        <v>203</v>
      </c>
      <c r="G220" s="17">
        <v>-1496000</v>
      </c>
      <c r="H220" s="18">
        <v>-1466276.18</v>
      </c>
      <c r="I220" s="17">
        <f>-(1280000+100000+120000-100000)</f>
        <v>-1400000</v>
      </c>
      <c r="J220" s="18">
        <v>-1407320.29</v>
      </c>
      <c r="K220" s="17">
        <f>-179*4200-100000-137000-200</f>
        <v>-989000</v>
      </c>
      <c r="L220" s="18">
        <v>-759779</v>
      </c>
      <c r="M220" s="17">
        <f>-697200-150000-30000+200</f>
        <v>-877000</v>
      </c>
      <c r="N220" s="28" t="s">
        <v>256</v>
      </c>
      <c r="R220" s="47">
        <f t="shared" si="27"/>
        <v>112000</v>
      </c>
      <c r="T220">
        <f>168*4200*8/12+162*4200*4/12</f>
        <v>697200</v>
      </c>
    </row>
    <row r="221" spans="1:20" ht="15" customHeight="1" outlineLevel="4">
      <c r="A221" s="1">
        <v>20</v>
      </c>
      <c r="B221" s="2" t="s">
        <v>68</v>
      </c>
      <c r="C221" s="1">
        <v>2</v>
      </c>
      <c r="D221" s="2" t="s">
        <v>194</v>
      </c>
      <c r="E221" s="3">
        <v>1813200811</v>
      </c>
      <c r="F221" s="2" t="s">
        <v>204</v>
      </c>
      <c r="G221" s="17">
        <v>-373000</v>
      </c>
      <c r="H221" s="18">
        <v>-455130.5</v>
      </c>
      <c r="I221" s="17">
        <v>-423000</v>
      </c>
      <c r="J221" s="18">
        <v>-462278.06</v>
      </c>
      <c r="K221" s="17">
        <v>-423000</v>
      </c>
      <c r="L221" s="18">
        <v>-328301</v>
      </c>
      <c r="M221" s="17">
        <v>-398000</v>
      </c>
      <c r="R221" s="47">
        <f t="shared" si="27"/>
        <v>25000</v>
      </c>
      <c r="T221">
        <f>170*4200</f>
        <v>714000</v>
      </c>
    </row>
    <row r="222" spans="1:20" ht="15" customHeight="1" outlineLevel="4">
      <c r="A222" s="1">
        <v>20</v>
      </c>
      <c r="B222" s="2" t="s">
        <v>68</v>
      </c>
      <c r="C222" s="1">
        <v>2</v>
      </c>
      <c r="D222" s="2" t="s">
        <v>194</v>
      </c>
      <c r="E222" s="3">
        <v>1813200812</v>
      </c>
      <c r="F222" s="2" t="s">
        <v>205</v>
      </c>
      <c r="G222" s="17">
        <v>0</v>
      </c>
      <c r="H222" s="18">
        <v>0</v>
      </c>
      <c r="I222" s="17">
        <v>0</v>
      </c>
      <c r="J222" s="18">
        <v>-111841.68</v>
      </c>
      <c r="K222" s="17">
        <v>0</v>
      </c>
      <c r="L222" s="18">
        <v>-151459</v>
      </c>
      <c r="M222" s="17">
        <f>-12*0.7*207*138-46</f>
        <v>-240000.39999999997</v>
      </c>
      <c r="R222" s="47">
        <f t="shared" si="27"/>
        <v>-240000.39999999997</v>
      </c>
      <c r="T222">
        <f>T221-T220</f>
        <v>16800</v>
      </c>
    </row>
    <row r="223" spans="1:18" ht="15" customHeight="1" outlineLevel="4">
      <c r="A223" s="1">
        <v>20</v>
      </c>
      <c r="B223" s="2" t="s">
        <v>68</v>
      </c>
      <c r="C223" s="1">
        <v>2</v>
      </c>
      <c r="D223" s="2" t="s">
        <v>194</v>
      </c>
      <c r="E223" s="3">
        <v>1813200813</v>
      </c>
      <c r="F223" s="2" t="s">
        <v>206</v>
      </c>
      <c r="G223" s="17">
        <v>0</v>
      </c>
      <c r="H223" s="18">
        <v>-158398.44</v>
      </c>
      <c r="I223" s="17">
        <v>0</v>
      </c>
      <c r="J223" s="18">
        <v>-153659.42</v>
      </c>
      <c r="K223" s="17">
        <f>-72*201*0.3*12+99</f>
        <v>-52000.2</v>
      </c>
      <c r="L223" s="18">
        <v>-83236</v>
      </c>
      <c r="M223" s="17">
        <f>-12*0.3*207*138-162</f>
        <v>-102999.59999999999</v>
      </c>
      <c r="R223" s="47">
        <f t="shared" si="27"/>
        <v>-50999.399999999994</v>
      </c>
    </row>
    <row r="224" spans="1:18" ht="15" customHeight="1" outlineLevel="4">
      <c r="A224" s="1">
        <v>20</v>
      </c>
      <c r="B224" s="2" t="s">
        <v>68</v>
      </c>
      <c r="C224" s="1">
        <v>2</v>
      </c>
      <c r="D224" s="2" t="s">
        <v>194</v>
      </c>
      <c r="E224" s="3">
        <v>1813200814</v>
      </c>
      <c r="F224" s="2" t="s">
        <v>207</v>
      </c>
      <c r="G224" s="17">
        <v>-40000</v>
      </c>
      <c r="H224" s="18">
        <v>-39955.69</v>
      </c>
      <c r="I224" s="17">
        <v>-26000</v>
      </c>
      <c r="J224" s="18">
        <v>-79159.19</v>
      </c>
      <c r="K224" s="17">
        <v>-26000</v>
      </c>
      <c r="L224" s="18">
        <v>-20562.06</v>
      </c>
      <c r="M224" s="17">
        <f>-M54</f>
        <v>0</v>
      </c>
      <c r="R224" s="47">
        <f t="shared" si="27"/>
        <v>26000</v>
      </c>
    </row>
    <row r="225" spans="1:18" s="35" customFormat="1" ht="26.25" customHeight="1" outlineLevel="4">
      <c r="A225" s="29">
        <v>20</v>
      </c>
      <c r="B225" s="30" t="s">
        <v>68</v>
      </c>
      <c r="C225" s="29">
        <v>2</v>
      </c>
      <c r="D225" s="30" t="s">
        <v>194</v>
      </c>
      <c r="E225" s="31">
        <v>1815000760</v>
      </c>
      <c r="F225" s="30" t="s">
        <v>208</v>
      </c>
      <c r="G225" s="32">
        <v>-244000</v>
      </c>
      <c r="H225" s="33">
        <v>-347134</v>
      </c>
      <c r="I225" s="32">
        <v>-250000</v>
      </c>
      <c r="J225" s="33">
        <v>-280483</v>
      </c>
      <c r="K225" s="32">
        <v>-400000</v>
      </c>
      <c r="L225" s="33">
        <v>-400298</v>
      </c>
      <c r="M225" s="32">
        <f>-420000-10000-16000-25000-8000</f>
        <v>-479000</v>
      </c>
      <c r="N225" s="34" t="s">
        <v>255</v>
      </c>
      <c r="R225" s="47">
        <f t="shared" si="27"/>
        <v>-79000</v>
      </c>
    </row>
    <row r="226" spans="1:18" ht="15" customHeight="1" outlineLevel="4">
      <c r="A226" s="1">
        <v>20</v>
      </c>
      <c r="B226" s="2" t="s">
        <v>68</v>
      </c>
      <c r="C226" s="1">
        <v>2</v>
      </c>
      <c r="D226" s="2" t="s">
        <v>194</v>
      </c>
      <c r="E226" s="3">
        <v>1817300780</v>
      </c>
      <c r="F226" s="38" t="s">
        <v>209</v>
      </c>
      <c r="G226" s="17">
        <v>-10000</v>
      </c>
      <c r="H226" s="18">
        <v>-9069.03</v>
      </c>
      <c r="I226" s="17">
        <v>-15000</v>
      </c>
      <c r="J226" s="18">
        <v>-16449.07</v>
      </c>
      <c r="K226" s="17">
        <v>-18000</v>
      </c>
      <c r="L226" s="18">
        <v>-2853</v>
      </c>
      <c r="M226" s="17">
        <v>-15000</v>
      </c>
      <c r="R226" s="47">
        <f t="shared" si="27"/>
        <v>3000</v>
      </c>
    </row>
    <row r="227" spans="1:18" ht="15" customHeight="1" outlineLevel="4">
      <c r="A227" s="1">
        <v>20</v>
      </c>
      <c r="B227" s="2" t="s">
        <v>68</v>
      </c>
      <c r="C227" s="1">
        <v>2</v>
      </c>
      <c r="D227" s="2" t="s">
        <v>194</v>
      </c>
      <c r="E227" s="3">
        <v>1817800750</v>
      </c>
      <c r="F227" s="2" t="s">
        <v>210</v>
      </c>
      <c r="G227" s="17">
        <v>-200000</v>
      </c>
      <c r="H227" s="18">
        <v>-605719.56</v>
      </c>
      <c r="I227" s="17">
        <v>-300000</v>
      </c>
      <c r="J227" s="18">
        <v>-380834.35</v>
      </c>
      <c r="K227" s="17">
        <v>-372000</v>
      </c>
      <c r="L227" s="18">
        <v>-303636</v>
      </c>
      <c r="M227" s="17">
        <f>-2750*80-150000</f>
        <v>-370000</v>
      </c>
      <c r="N227" s="37" t="s">
        <v>258</v>
      </c>
      <c r="Q227" t="s">
        <v>285</v>
      </c>
      <c r="R227" s="47">
        <f t="shared" si="27"/>
        <v>2000</v>
      </c>
    </row>
    <row r="228" spans="1:18" ht="15" customHeight="1" outlineLevel="4">
      <c r="A228" s="1">
        <v>20</v>
      </c>
      <c r="B228" s="2" t="s">
        <v>68</v>
      </c>
      <c r="C228" s="1">
        <v>2</v>
      </c>
      <c r="D228" s="2" t="s">
        <v>194</v>
      </c>
      <c r="E228" s="3">
        <v>1817800780</v>
      </c>
      <c r="F228" s="2" t="s">
        <v>211</v>
      </c>
      <c r="G228" s="17">
        <v>-20000</v>
      </c>
      <c r="H228" s="18">
        <v>-33090</v>
      </c>
      <c r="I228" s="17">
        <v>-20000</v>
      </c>
      <c r="J228" s="18">
        <v>-7582</v>
      </c>
      <c r="K228" s="17">
        <v>-20000</v>
      </c>
      <c r="L228" s="18">
        <v>-17010</v>
      </c>
      <c r="M228" s="17">
        <v>-20000</v>
      </c>
      <c r="Q228" s="41" t="s">
        <v>286</v>
      </c>
      <c r="R228" s="47">
        <f t="shared" si="27"/>
        <v>0</v>
      </c>
    </row>
    <row r="229" spans="1:18" ht="15" customHeight="1" outlineLevel="4">
      <c r="A229" s="1">
        <v>20</v>
      </c>
      <c r="B229" s="2" t="s">
        <v>68</v>
      </c>
      <c r="C229" s="1">
        <v>2</v>
      </c>
      <c r="D229" s="2" t="s">
        <v>194</v>
      </c>
      <c r="E229" s="3">
        <v>1819300780</v>
      </c>
      <c r="F229" s="2" t="s">
        <v>212</v>
      </c>
      <c r="G229" s="17">
        <v>-279000</v>
      </c>
      <c r="H229" s="18">
        <v>-338732</v>
      </c>
      <c r="I229" s="17">
        <v>-307000</v>
      </c>
      <c r="J229" s="18">
        <v>-403643</v>
      </c>
      <c r="K229" s="17">
        <v>-275000</v>
      </c>
      <c r="L229" s="18">
        <v>-305000</v>
      </c>
      <c r="M229" s="17">
        <f>-275000-65000+40000</f>
        <v>-300000</v>
      </c>
      <c r="Q229" s="41" t="s">
        <v>284</v>
      </c>
      <c r="R229" s="47">
        <f t="shared" si="27"/>
        <v>-25000</v>
      </c>
    </row>
    <row r="230" spans="1:18" s="7" customFormat="1" ht="15" customHeight="1" outlineLevel="3">
      <c r="A230" s="11"/>
      <c r="B230" s="9"/>
      <c r="C230" s="11"/>
      <c r="D230" s="9"/>
      <c r="E230" s="10"/>
      <c r="F230" s="9"/>
      <c r="G230" s="56">
        <f aca="true" t="shared" si="28" ref="G230:M230">SUBTOTAL(9,G215:G229)</f>
        <v>-3529000</v>
      </c>
      <c r="H230" s="20">
        <f t="shared" si="28"/>
        <v>-4401441.39</v>
      </c>
      <c r="I230" s="19">
        <f t="shared" si="28"/>
        <v>-3347000</v>
      </c>
      <c r="J230" s="20">
        <f t="shared" si="28"/>
        <v>-4305779.609999999</v>
      </c>
      <c r="K230" s="19">
        <f t="shared" si="28"/>
        <v>-4312000.2</v>
      </c>
      <c r="L230" s="20">
        <f t="shared" si="28"/>
        <v>-3677119.06</v>
      </c>
      <c r="M230" s="56">
        <f t="shared" si="28"/>
        <v>-4634000</v>
      </c>
      <c r="R230" s="19">
        <f>SUBTOTAL(9,R215:R229)</f>
        <v>-321999.79999999993</v>
      </c>
    </row>
    <row r="231" spans="1:18" s="7" customFormat="1" ht="15" customHeight="1" outlineLevel="2">
      <c r="A231" s="11"/>
      <c r="B231" s="9"/>
      <c r="C231" s="11"/>
      <c r="D231" s="12" t="s">
        <v>243</v>
      </c>
      <c r="E231" s="10"/>
      <c r="F231" s="9"/>
      <c r="G231" s="19">
        <f aca="true" t="shared" si="29" ref="G231:M231">SUBTOTAL(9,G210:G229)</f>
        <v>-4078000</v>
      </c>
      <c r="H231" s="20">
        <f t="shared" si="29"/>
        <v>-4675475.739999999</v>
      </c>
      <c r="I231" s="19">
        <f t="shared" si="29"/>
        <v>-3958000</v>
      </c>
      <c r="J231" s="20">
        <f t="shared" si="29"/>
        <v>-4610976.39</v>
      </c>
      <c r="K231" s="19">
        <f t="shared" si="29"/>
        <v>-4637000.2</v>
      </c>
      <c r="L231" s="20">
        <f t="shared" si="29"/>
        <v>-3927851.06</v>
      </c>
      <c r="M231" s="19">
        <f t="shared" si="29"/>
        <v>-4985000</v>
      </c>
      <c r="R231" s="19">
        <f>SUBTOTAL(9,R210:R229)</f>
        <v>-347999.79999999993</v>
      </c>
    </row>
    <row r="232" spans="1:18" ht="15" customHeight="1" outlineLevel="4">
      <c r="A232" s="1">
        <v>20</v>
      </c>
      <c r="B232" s="2" t="s">
        <v>68</v>
      </c>
      <c r="C232" s="1">
        <v>8</v>
      </c>
      <c r="D232" s="2" t="s">
        <v>213</v>
      </c>
      <c r="E232" s="3">
        <v>1841000110</v>
      </c>
      <c r="F232" s="2" t="s">
        <v>214</v>
      </c>
      <c r="G232" s="17">
        <v>-165000</v>
      </c>
      <c r="H232" s="18">
        <v>-173843.86</v>
      </c>
      <c r="I232" s="17">
        <v>-170000</v>
      </c>
      <c r="J232" s="18">
        <v>-177017.29</v>
      </c>
      <c r="K232" s="17">
        <v>-176000</v>
      </c>
      <c r="L232" s="18">
        <v>-156048</v>
      </c>
      <c r="M232" s="17">
        <v>-195000</v>
      </c>
      <c r="Q232" s="42" t="s">
        <v>278</v>
      </c>
      <c r="R232" s="47">
        <f>M232-K232</f>
        <v>-19000</v>
      </c>
    </row>
    <row r="233" spans="1:18" ht="15" customHeight="1" outlineLevel="4">
      <c r="A233" s="1">
        <v>20</v>
      </c>
      <c r="B233" s="2" t="s">
        <v>68</v>
      </c>
      <c r="C233" s="1">
        <v>8</v>
      </c>
      <c r="D233" s="2" t="s">
        <v>213</v>
      </c>
      <c r="E233" s="3">
        <v>1841100110</v>
      </c>
      <c r="F233" s="2" t="s">
        <v>215</v>
      </c>
      <c r="G233" s="17">
        <v>-96000</v>
      </c>
      <c r="H233" s="18">
        <v>-111872.04</v>
      </c>
      <c r="I233" s="17">
        <v>-110000</v>
      </c>
      <c r="J233" s="18">
        <v>-179382.85</v>
      </c>
      <c r="K233" s="17">
        <v>-178000</v>
      </c>
      <c r="L233" s="18">
        <v>-157448</v>
      </c>
      <c r="M233" s="17">
        <v>-200000</v>
      </c>
      <c r="Q233" t="s">
        <v>274</v>
      </c>
      <c r="R233" s="47">
        <f>M233-K233</f>
        <v>-22000</v>
      </c>
    </row>
    <row r="234" spans="1:18" ht="15" customHeight="1" outlineLevel="4">
      <c r="A234" s="1">
        <v>20</v>
      </c>
      <c r="B234" s="2" t="s">
        <v>68</v>
      </c>
      <c r="C234" s="1">
        <v>3</v>
      </c>
      <c r="D234" s="2" t="s">
        <v>213</v>
      </c>
      <c r="E234" s="3">
        <v>1844400110</v>
      </c>
      <c r="F234" s="2" t="s">
        <v>216</v>
      </c>
      <c r="G234" s="17">
        <v>-125000</v>
      </c>
      <c r="H234" s="18">
        <v>-142372.63</v>
      </c>
      <c r="I234" s="17">
        <v>-143000</v>
      </c>
      <c r="J234" s="18">
        <v>-145759.58</v>
      </c>
      <c r="K234" s="17">
        <v>-147000</v>
      </c>
      <c r="L234" s="18">
        <v>-118721</v>
      </c>
      <c r="M234" s="17">
        <v>-145000</v>
      </c>
      <c r="R234" s="47">
        <f>M234-K234</f>
        <v>2000</v>
      </c>
    </row>
    <row r="235" spans="1:18" s="7" customFormat="1" ht="15" customHeight="1" outlineLevel="3">
      <c r="A235" s="11"/>
      <c r="B235" s="9"/>
      <c r="C235" s="11"/>
      <c r="D235" s="9"/>
      <c r="E235" s="10"/>
      <c r="F235" s="9"/>
      <c r="G235" s="19">
        <f aca="true" t="shared" si="30" ref="G235:M235">SUBTOTAL(9,G232:G234)</f>
        <v>-386000</v>
      </c>
      <c r="H235" s="20">
        <f t="shared" si="30"/>
        <v>-428088.52999999997</v>
      </c>
      <c r="I235" s="19">
        <f t="shared" si="30"/>
        <v>-423000</v>
      </c>
      <c r="J235" s="20">
        <f t="shared" si="30"/>
        <v>-502159.72</v>
      </c>
      <c r="K235" s="19">
        <f t="shared" si="30"/>
        <v>-501000</v>
      </c>
      <c r="L235" s="20">
        <f t="shared" si="30"/>
        <v>-432217</v>
      </c>
      <c r="M235" s="19">
        <f t="shared" si="30"/>
        <v>-540000</v>
      </c>
      <c r="R235" s="19">
        <f>SUBTOTAL(9,R232:R234)</f>
        <v>-39000</v>
      </c>
    </row>
    <row r="236" spans="1:18" ht="15" customHeight="1" outlineLevel="4">
      <c r="A236" s="1">
        <v>20</v>
      </c>
      <c r="B236" s="2" t="s">
        <v>68</v>
      </c>
      <c r="C236" s="1">
        <v>8</v>
      </c>
      <c r="D236" s="2" t="s">
        <v>213</v>
      </c>
      <c r="E236" s="3">
        <v>1840000840</v>
      </c>
      <c r="F236" s="2" t="s">
        <v>217</v>
      </c>
      <c r="G236" s="17">
        <v>-565000</v>
      </c>
      <c r="H236" s="18">
        <v>-358649</v>
      </c>
      <c r="I236" s="17">
        <v>-565000</v>
      </c>
      <c r="J236" s="18">
        <v>-338157</v>
      </c>
      <c r="K236" s="17">
        <v>-455000</v>
      </c>
      <c r="L236" s="18">
        <v>-312353</v>
      </c>
      <c r="M236" s="17">
        <f>-M51*64%</f>
        <v>-352000</v>
      </c>
      <c r="R236" s="47">
        <f>M236-K236</f>
        <v>103000</v>
      </c>
    </row>
    <row r="237" spans="1:18" ht="15" customHeight="1" outlineLevel="4">
      <c r="A237" s="1">
        <v>20</v>
      </c>
      <c r="B237" s="2" t="s">
        <v>68</v>
      </c>
      <c r="C237" s="1">
        <v>8</v>
      </c>
      <c r="D237" s="2" t="s">
        <v>213</v>
      </c>
      <c r="E237" s="3">
        <v>1841000840</v>
      </c>
      <c r="F237" s="2" t="s">
        <v>218</v>
      </c>
      <c r="G237" s="17">
        <v>-64000</v>
      </c>
      <c r="H237" s="18">
        <v>-27731.17</v>
      </c>
      <c r="I237" s="17">
        <v>-65000</v>
      </c>
      <c r="J237" s="18">
        <v>-39171.4</v>
      </c>
      <c r="K237" s="17">
        <v>-65000</v>
      </c>
      <c r="L237" s="18">
        <v>-24165</v>
      </c>
      <c r="M237" s="17">
        <v>-65000</v>
      </c>
      <c r="R237" s="47">
        <f>M237-K237</f>
        <v>0</v>
      </c>
    </row>
    <row r="238" spans="1:18" ht="15" customHeight="1" outlineLevel="4">
      <c r="A238" s="1">
        <v>20</v>
      </c>
      <c r="B238" s="2" t="s">
        <v>68</v>
      </c>
      <c r="C238" s="1">
        <v>8</v>
      </c>
      <c r="D238" s="2" t="s">
        <v>213</v>
      </c>
      <c r="E238" s="3">
        <v>1841100840</v>
      </c>
      <c r="F238" s="2" t="s">
        <v>219</v>
      </c>
      <c r="G238" s="17">
        <v>-20000</v>
      </c>
      <c r="H238" s="18">
        <v>-21455.9</v>
      </c>
      <c r="I238" s="17">
        <v>-42000</v>
      </c>
      <c r="J238" s="18">
        <v>-15107.9</v>
      </c>
      <c r="K238" s="17">
        <v>-42000</v>
      </c>
      <c r="L238" s="18">
        <v>-17818</v>
      </c>
      <c r="M238" s="17">
        <v>-42000</v>
      </c>
      <c r="R238" s="47">
        <f>M238-K238</f>
        <v>0</v>
      </c>
    </row>
    <row r="239" spans="1:18" ht="15" customHeight="1" outlineLevel="4">
      <c r="A239" s="1">
        <v>20</v>
      </c>
      <c r="B239" s="2" t="s">
        <v>68</v>
      </c>
      <c r="C239" s="1">
        <v>8</v>
      </c>
      <c r="D239" s="2" t="s">
        <v>213</v>
      </c>
      <c r="E239" s="3">
        <v>1842000840</v>
      </c>
      <c r="F239" s="2" t="s">
        <v>220</v>
      </c>
      <c r="G239" s="17">
        <v>0</v>
      </c>
      <c r="H239" s="18">
        <v>-32500</v>
      </c>
      <c r="I239" s="17">
        <v>-30000</v>
      </c>
      <c r="J239" s="18">
        <v>-11720</v>
      </c>
      <c r="K239" s="17">
        <v>-30000</v>
      </c>
      <c r="L239" s="18">
        <v>-6750</v>
      </c>
      <c r="M239" s="17">
        <v>-30000</v>
      </c>
      <c r="R239" s="47">
        <f>M239-K239</f>
        <v>0</v>
      </c>
    </row>
    <row r="240" spans="1:18" ht="15" customHeight="1" outlineLevel="4">
      <c r="A240" s="1">
        <v>20</v>
      </c>
      <c r="B240" s="2" t="s">
        <v>68</v>
      </c>
      <c r="C240" s="1">
        <v>3</v>
      </c>
      <c r="D240" s="2" t="s">
        <v>213</v>
      </c>
      <c r="E240" s="3">
        <v>1844400780</v>
      </c>
      <c r="F240" s="2" t="s">
        <v>221</v>
      </c>
      <c r="G240" s="17">
        <v>-350000</v>
      </c>
      <c r="H240" s="18">
        <v>-304682.21</v>
      </c>
      <c r="I240" s="17">
        <v>-313000</v>
      </c>
      <c r="J240" s="18">
        <v>-286640.19</v>
      </c>
      <c r="K240" s="17">
        <v>-292000</v>
      </c>
      <c r="L240" s="18">
        <v>-226104</v>
      </c>
      <c r="M240" s="17">
        <v>-292000</v>
      </c>
      <c r="R240" s="47">
        <f>M240-K240</f>
        <v>0</v>
      </c>
    </row>
    <row r="241" spans="1:18" s="7" customFormat="1" ht="15" customHeight="1" outlineLevel="3">
      <c r="A241" s="11"/>
      <c r="B241" s="9"/>
      <c r="C241" s="11"/>
      <c r="D241" s="9"/>
      <c r="E241" s="10"/>
      <c r="F241" s="9"/>
      <c r="G241" s="19">
        <f aca="true" t="shared" si="31" ref="G241:M241">SUBTOTAL(9,G236:G240)</f>
        <v>-999000</v>
      </c>
      <c r="H241" s="20">
        <f t="shared" si="31"/>
        <v>-745018.28</v>
      </c>
      <c r="I241" s="19">
        <f t="shared" si="31"/>
        <v>-1015000</v>
      </c>
      <c r="J241" s="20">
        <f t="shared" si="31"/>
        <v>-690796.49</v>
      </c>
      <c r="K241" s="19">
        <f t="shared" si="31"/>
        <v>-884000</v>
      </c>
      <c r="L241" s="20">
        <f t="shared" si="31"/>
        <v>-587190</v>
      </c>
      <c r="M241" s="19">
        <f t="shared" si="31"/>
        <v>-781000</v>
      </c>
      <c r="R241" s="19">
        <f>SUBTOTAL(9,R236:R240)</f>
        <v>103000</v>
      </c>
    </row>
    <row r="242" spans="1:18" s="7" customFormat="1" ht="15" customHeight="1" outlineLevel="2">
      <c r="A242" s="11"/>
      <c r="B242" s="9"/>
      <c r="C242" s="11"/>
      <c r="D242" s="12" t="s">
        <v>244</v>
      </c>
      <c r="E242" s="10"/>
      <c r="F242" s="9"/>
      <c r="G242" s="19">
        <f aca="true" t="shared" si="32" ref="G242:M242">SUBTOTAL(9,G232:G240)</f>
        <v>-1385000</v>
      </c>
      <c r="H242" s="20">
        <f t="shared" si="32"/>
        <v>-1173106.81</v>
      </c>
      <c r="I242" s="19">
        <f t="shared" si="32"/>
        <v>-1438000</v>
      </c>
      <c r="J242" s="20">
        <f t="shared" si="32"/>
        <v>-1192956.21</v>
      </c>
      <c r="K242" s="19">
        <f t="shared" si="32"/>
        <v>-1385000</v>
      </c>
      <c r="L242" s="20">
        <f t="shared" si="32"/>
        <v>-1019407</v>
      </c>
      <c r="M242" s="19">
        <f t="shared" si="32"/>
        <v>-1321000</v>
      </c>
      <c r="R242" s="19">
        <f>SUBTOTAL(9,R232:R240)</f>
        <v>64000</v>
      </c>
    </row>
    <row r="243" spans="1:18" ht="15" customHeight="1" outlineLevel="4">
      <c r="A243" s="1">
        <v>20</v>
      </c>
      <c r="B243" s="2" t="s">
        <v>68</v>
      </c>
      <c r="C243" s="1">
        <v>1</v>
      </c>
      <c r="D243" s="2" t="s">
        <v>222</v>
      </c>
      <c r="E243" s="3">
        <v>1631000610</v>
      </c>
      <c r="F243" s="2" t="s">
        <v>223</v>
      </c>
      <c r="G243" s="17">
        <v>-49000</v>
      </c>
      <c r="H243" s="18">
        <v>-32531.53</v>
      </c>
      <c r="I243" s="17">
        <v>-35000</v>
      </c>
      <c r="J243" s="18">
        <v>-45177.31</v>
      </c>
      <c r="K243" s="17">
        <v>-35000</v>
      </c>
      <c r="L243" s="18">
        <v>-35228</v>
      </c>
      <c r="M243" s="17">
        <v>-35000</v>
      </c>
      <c r="R243" s="47">
        <f>M243-K243</f>
        <v>0</v>
      </c>
    </row>
    <row r="244" spans="1:18" ht="15" customHeight="1" outlineLevel="4">
      <c r="A244" s="1">
        <v>20</v>
      </c>
      <c r="B244" s="2" t="s">
        <v>68</v>
      </c>
      <c r="C244" s="1">
        <v>1</v>
      </c>
      <c r="D244" s="2" t="s">
        <v>222</v>
      </c>
      <c r="E244" s="3">
        <v>1631000611</v>
      </c>
      <c r="F244" s="2" t="s">
        <v>224</v>
      </c>
      <c r="G244" s="17">
        <v>-220000</v>
      </c>
      <c r="H244" s="18">
        <v>-170114.54</v>
      </c>
      <c r="I244" s="17">
        <v>-200000</v>
      </c>
      <c r="J244" s="18">
        <v>-140615.99</v>
      </c>
      <c r="K244" s="17">
        <v>-150000</v>
      </c>
      <c r="L244" s="18">
        <v>-131721</v>
      </c>
      <c r="M244" s="17">
        <v>-150000</v>
      </c>
      <c r="R244" s="47">
        <f>M244-K244</f>
        <v>0</v>
      </c>
    </row>
    <row r="245" spans="1:18" s="7" customFormat="1" ht="15" customHeight="1" outlineLevel="3">
      <c r="A245" s="11"/>
      <c r="B245" s="9"/>
      <c r="C245" s="11"/>
      <c r="D245" s="9"/>
      <c r="E245" s="10"/>
      <c r="F245" s="9"/>
      <c r="G245" s="19">
        <f aca="true" t="shared" si="33" ref="G245:M245">SUBTOTAL(9,G243:G244)</f>
        <v>-269000</v>
      </c>
      <c r="H245" s="20">
        <f t="shared" si="33"/>
        <v>-202646.07</v>
      </c>
      <c r="I245" s="19">
        <f t="shared" si="33"/>
        <v>-235000</v>
      </c>
      <c r="J245" s="20">
        <f t="shared" si="33"/>
        <v>-185793.3</v>
      </c>
      <c r="K245" s="19">
        <f t="shared" si="33"/>
        <v>-185000</v>
      </c>
      <c r="L245" s="20">
        <f t="shared" si="33"/>
        <v>-166949</v>
      </c>
      <c r="M245" s="19">
        <f t="shared" si="33"/>
        <v>-185000</v>
      </c>
      <c r="R245" s="19">
        <f>SUBTOTAL(9,R243:R244)</f>
        <v>0</v>
      </c>
    </row>
    <row r="246" spans="1:18" s="7" customFormat="1" ht="15" customHeight="1" outlineLevel="2">
      <c r="A246" s="11"/>
      <c r="B246" s="9"/>
      <c r="C246" s="11"/>
      <c r="D246" s="12" t="s">
        <v>245</v>
      </c>
      <c r="E246" s="10"/>
      <c r="F246" s="9"/>
      <c r="G246" s="19">
        <f aca="true" t="shared" si="34" ref="G246:M246">SUBTOTAL(9,G243:G244)</f>
        <v>-269000</v>
      </c>
      <c r="H246" s="20">
        <f t="shared" si="34"/>
        <v>-202646.07</v>
      </c>
      <c r="I246" s="19">
        <f t="shared" si="34"/>
        <v>-235000</v>
      </c>
      <c r="J246" s="20">
        <f t="shared" si="34"/>
        <v>-185793.3</v>
      </c>
      <c r="K246" s="19">
        <f t="shared" si="34"/>
        <v>-185000</v>
      </c>
      <c r="L246" s="20">
        <f t="shared" si="34"/>
        <v>-166949</v>
      </c>
      <c r="M246" s="19">
        <f t="shared" si="34"/>
        <v>-185000</v>
      </c>
      <c r="R246" s="19">
        <f>SUBTOTAL(9,R243:R244)</f>
        <v>0</v>
      </c>
    </row>
    <row r="247" spans="1:18" ht="15" customHeight="1" outlineLevel="4">
      <c r="A247" s="1">
        <v>20</v>
      </c>
      <c r="B247" s="2" t="s">
        <v>68</v>
      </c>
      <c r="C247" s="1">
        <v>1</v>
      </c>
      <c r="D247" s="2" t="s">
        <v>225</v>
      </c>
      <c r="E247" s="3">
        <v>1994000780</v>
      </c>
      <c r="F247" s="2" t="s">
        <v>226</v>
      </c>
      <c r="G247" s="17">
        <v>0</v>
      </c>
      <c r="H247" s="18">
        <v>-1472.65</v>
      </c>
      <c r="I247" s="17">
        <v>0</v>
      </c>
      <c r="J247" s="18">
        <v>-424.14</v>
      </c>
      <c r="K247" s="17">
        <v>0</v>
      </c>
      <c r="L247" s="18">
        <v>-714</v>
      </c>
      <c r="M247" s="17">
        <v>0</v>
      </c>
      <c r="R247" s="47">
        <f>M247-K247</f>
        <v>0</v>
      </c>
    </row>
    <row r="248" spans="1:18" s="7" customFormat="1" ht="15" customHeight="1" outlineLevel="3">
      <c r="A248" s="11"/>
      <c r="B248" s="9"/>
      <c r="C248" s="11"/>
      <c r="D248" s="9"/>
      <c r="E248" s="10"/>
      <c r="F248" s="9"/>
      <c r="G248" s="19">
        <f aca="true" t="shared" si="35" ref="G248:M248">SUBTOTAL(9,G247:G247)</f>
        <v>0</v>
      </c>
      <c r="H248" s="20">
        <f t="shared" si="35"/>
        <v>-1472.65</v>
      </c>
      <c r="I248" s="19">
        <f t="shared" si="35"/>
        <v>0</v>
      </c>
      <c r="J248" s="20">
        <f t="shared" si="35"/>
        <v>-424.14</v>
      </c>
      <c r="K248" s="19">
        <f t="shared" si="35"/>
        <v>0</v>
      </c>
      <c r="L248" s="20">
        <f t="shared" si="35"/>
        <v>-714</v>
      </c>
      <c r="M248" s="19">
        <f t="shared" si="35"/>
        <v>0</v>
      </c>
      <c r="R248" s="19">
        <f>SUBTOTAL(9,R247:R247)</f>
        <v>0</v>
      </c>
    </row>
    <row r="249" spans="1:18" s="7" customFormat="1" ht="15" customHeight="1" outlineLevel="2">
      <c r="A249" s="11"/>
      <c r="B249" s="9"/>
      <c r="C249" s="11"/>
      <c r="D249" s="12" t="s">
        <v>246</v>
      </c>
      <c r="E249" s="10"/>
      <c r="F249" s="9"/>
      <c r="G249" s="19">
        <f aca="true" t="shared" si="36" ref="G249:M249">SUBTOTAL(9,G247:G247)</f>
        <v>0</v>
      </c>
      <c r="H249" s="20">
        <f t="shared" si="36"/>
        <v>-1472.65</v>
      </c>
      <c r="I249" s="19">
        <f t="shared" si="36"/>
        <v>0</v>
      </c>
      <c r="J249" s="20">
        <f t="shared" si="36"/>
        <v>-424.14</v>
      </c>
      <c r="K249" s="19">
        <f t="shared" si="36"/>
        <v>0</v>
      </c>
      <c r="L249" s="20">
        <f t="shared" si="36"/>
        <v>-714</v>
      </c>
      <c r="M249" s="19">
        <f t="shared" si="36"/>
        <v>0</v>
      </c>
      <c r="R249" s="19">
        <f>SUBTOTAL(9,R247:R247)</f>
        <v>0</v>
      </c>
    </row>
    <row r="250" spans="1:18" ht="15" customHeight="1" outlineLevel="4">
      <c r="A250" s="1">
        <v>20</v>
      </c>
      <c r="B250" s="2" t="s">
        <v>68</v>
      </c>
      <c r="C250" s="1">
        <v>1</v>
      </c>
      <c r="D250" s="2" t="s">
        <v>227</v>
      </c>
      <c r="E250" s="3">
        <v>1995002860</v>
      </c>
      <c r="F250" s="2" t="s">
        <v>228</v>
      </c>
      <c r="G250" s="17">
        <v>-476000</v>
      </c>
      <c r="H250" s="18">
        <v>-550085</v>
      </c>
      <c r="I250" s="17">
        <v>-420000</v>
      </c>
      <c r="J250" s="18">
        <v>-406226</v>
      </c>
      <c r="K250" s="17">
        <v>-410000</v>
      </c>
      <c r="L250" s="18">
        <v>-547086</v>
      </c>
      <c r="M250" s="17">
        <f>-M9-M251</f>
        <v>-540000</v>
      </c>
      <c r="R250" s="47">
        <f>M250-K250</f>
        <v>-130000</v>
      </c>
    </row>
    <row r="251" spans="1:18" ht="15" customHeight="1" outlineLevel="4">
      <c r="A251" s="1">
        <v>20</v>
      </c>
      <c r="B251" s="2" t="s">
        <v>68</v>
      </c>
      <c r="C251" s="1">
        <v>1</v>
      </c>
      <c r="D251" s="2" t="s">
        <v>227</v>
      </c>
      <c r="E251" s="3">
        <v>1995002861</v>
      </c>
      <c r="F251" s="2" t="s">
        <v>229</v>
      </c>
      <c r="G251" s="17">
        <v>-104000</v>
      </c>
      <c r="H251" s="18">
        <v>-118183</v>
      </c>
      <c r="I251" s="17">
        <v>-120000</v>
      </c>
      <c r="J251" s="18">
        <v>-108843</v>
      </c>
      <c r="K251" s="17">
        <v>-115000</v>
      </c>
      <c r="L251" s="18">
        <v>-131037</v>
      </c>
      <c r="M251" s="17">
        <v>-140000</v>
      </c>
      <c r="R251" s="47">
        <f>M251-K251</f>
        <v>-25000</v>
      </c>
    </row>
    <row r="252" spans="1:18" s="7" customFormat="1" ht="15" customHeight="1" outlineLevel="3">
      <c r="A252" s="11"/>
      <c r="B252" s="9"/>
      <c r="C252" s="11"/>
      <c r="D252" s="9"/>
      <c r="E252" s="10"/>
      <c r="F252" s="9"/>
      <c r="G252" s="19">
        <f aca="true" t="shared" si="37" ref="G252:M252">SUBTOTAL(9,G250:G251)</f>
        <v>-580000</v>
      </c>
      <c r="H252" s="20">
        <f t="shared" si="37"/>
        <v>-668268</v>
      </c>
      <c r="I252" s="19">
        <f t="shared" si="37"/>
        <v>-540000</v>
      </c>
      <c r="J252" s="21">
        <f t="shared" si="37"/>
        <v>-515069</v>
      </c>
      <c r="K252" s="19">
        <f t="shared" si="37"/>
        <v>-525000</v>
      </c>
      <c r="L252" s="20">
        <f t="shared" si="37"/>
        <v>-678123</v>
      </c>
      <c r="M252" s="19">
        <f t="shared" si="37"/>
        <v>-680000</v>
      </c>
      <c r="R252" s="19">
        <f>SUBTOTAL(9,R250:R251)</f>
        <v>-155000</v>
      </c>
    </row>
    <row r="253" spans="1:18" s="7" customFormat="1" ht="15" customHeight="1" outlineLevel="2">
      <c r="A253" s="11"/>
      <c r="B253" s="9"/>
      <c r="C253" s="11"/>
      <c r="D253" s="12" t="s">
        <v>247</v>
      </c>
      <c r="E253" s="10"/>
      <c r="F253" s="9"/>
      <c r="G253" s="19">
        <f aca="true" t="shared" si="38" ref="G253:M253">SUBTOTAL(9,G250:G251)</f>
        <v>-580000</v>
      </c>
      <c r="H253" s="20">
        <f t="shared" si="38"/>
        <v>-668268</v>
      </c>
      <c r="I253" s="19">
        <f t="shared" si="38"/>
        <v>-540000</v>
      </c>
      <c r="J253" s="21">
        <f t="shared" si="38"/>
        <v>-515069</v>
      </c>
      <c r="K253" s="19">
        <f t="shared" si="38"/>
        <v>-525000</v>
      </c>
      <c r="L253" s="20">
        <f t="shared" si="38"/>
        <v>-678123</v>
      </c>
      <c r="M253" s="19">
        <f t="shared" si="38"/>
        <v>-680000</v>
      </c>
      <c r="R253" s="19">
        <f>SUBTOTAL(9,R250:R251)</f>
        <v>-155000</v>
      </c>
    </row>
    <row r="254" spans="1:18" ht="15" customHeight="1" outlineLevel="4">
      <c r="A254" s="1">
        <v>20</v>
      </c>
      <c r="B254" s="2" t="s">
        <v>68</v>
      </c>
      <c r="C254" s="1">
        <v>1</v>
      </c>
      <c r="D254" s="2" t="s">
        <v>230</v>
      </c>
      <c r="E254" s="3">
        <v>1992000960</v>
      </c>
      <c r="F254" s="2" t="s">
        <v>231</v>
      </c>
      <c r="G254" s="17">
        <v>-414000</v>
      </c>
      <c r="H254" s="18">
        <v>0</v>
      </c>
      <c r="I254" s="17">
        <v>0</v>
      </c>
      <c r="J254" s="22"/>
      <c r="K254" s="17">
        <v>0</v>
      </c>
      <c r="L254" s="18">
        <v>0</v>
      </c>
      <c r="M254" s="17">
        <v>-103000</v>
      </c>
      <c r="R254" s="47">
        <f>M254-K254</f>
        <v>-103000</v>
      </c>
    </row>
    <row r="255" spans="1:18" ht="15" customHeight="1" outlineLevel="4">
      <c r="A255" s="1">
        <v>20</v>
      </c>
      <c r="B255" s="2" t="s">
        <v>68</v>
      </c>
      <c r="C255" s="1">
        <v>1</v>
      </c>
      <c r="D255" s="2" t="s">
        <v>230</v>
      </c>
      <c r="E255" s="3">
        <v>1999000980</v>
      </c>
      <c r="F255" s="2" t="s">
        <v>232</v>
      </c>
      <c r="G255" s="17">
        <v>-479000</v>
      </c>
      <c r="H255" s="18">
        <v>0</v>
      </c>
      <c r="I255" s="17">
        <v>-166000</v>
      </c>
      <c r="J255" s="22">
        <v>-450507</v>
      </c>
      <c r="K255" s="17">
        <f>-1210000-70000</f>
        <v>-1280000</v>
      </c>
      <c r="L255" s="18">
        <v>-1280000</v>
      </c>
      <c r="M255" s="17">
        <f>-400000+266000-98000+24000+18000-81000+4000+100000-50000</f>
        <v>-217000</v>
      </c>
      <c r="Q255" s="47">
        <f>(M258-M255)*0.01</f>
        <v>-385470</v>
      </c>
      <c r="R255" s="47">
        <f>M255-K255</f>
        <v>1063000</v>
      </c>
    </row>
    <row r="256" spans="1:18" s="7" customFormat="1" ht="15" customHeight="1" outlineLevel="3">
      <c r="A256" s="13"/>
      <c r="B256" s="14"/>
      <c r="C256" s="13"/>
      <c r="D256" s="14"/>
      <c r="E256" s="15"/>
      <c r="F256" s="14"/>
      <c r="G256" s="24">
        <f aca="true" t="shared" si="39" ref="G256:M256">SUBTOTAL(9,G254:G255)</f>
        <v>-893000</v>
      </c>
      <c r="H256" s="21">
        <f t="shared" si="39"/>
        <v>0</v>
      </c>
      <c r="I256" s="24">
        <f t="shared" si="39"/>
        <v>-166000</v>
      </c>
      <c r="J256" s="23">
        <f t="shared" si="39"/>
        <v>-450507</v>
      </c>
      <c r="K256" s="24">
        <f t="shared" si="39"/>
        <v>-1280000</v>
      </c>
      <c r="L256" s="21">
        <f t="shared" si="39"/>
        <v>-1280000</v>
      </c>
      <c r="M256" s="24">
        <f t="shared" si="39"/>
        <v>-320000</v>
      </c>
      <c r="R256" s="24">
        <f>SUBTOTAL(9,R254:R255)</f>
        <v>960000</v>
      </c>
    </row>
    <row r="257" spans="1:18" s="7" customFormat="1" ht="15" customHeight="1" outlineLevel="2">
      <c r="A257" s="13"/>
      <c r="B257" s="14"/>
      <c r="C257" s="13"/>
      <c r="D257" s="16" t="s">
        <v>248</v>
      </c>
      <c r="E257" s="15"/>
      <c r="F257" s="14"/>
      <c r="G257" s="24">
        <f aca="true" t="shared" si="40" ref="G257:M257">SUBTOTAL(9,G254:G255)</f>
        <v>-893000</v>
      </c>
      <c r="H257" s="21">
        <f t="shared" si="40"/>
        <v>0</v>
      </c>
      <c r="I257" s="24">
        <f t="shared" si="40"/>
        <v>-166000</v>
      </c>
      <c r="J257" s="23">
        <f t="shared" si="40"/>
        <v>-450507</v>
      </c>
      <c r="K257" s="24">
        <f t="shared" si="40"/>
        <v>-1280000</v>
      </c>
      <c r="L257" s="21">
        <f t="shared" si="40"/>
        <v>-1280000</v>
      </c>
      <c r="M257" s="24">
        <f t="shared" si="40"/>
        <v>-320000</v>
      </c>
      <c r="R257" s="24">
        <f>SUBTOTAL(9,R254:R255)</f>
        <v>960000</v>
      </c>
    </row>
    <row r="258" spans="1:18" s="7" customFormat="1" ht="15" customHeight="1" outlineLevel="1">
      <c r="A258" s="13"/>
      <c r="B258" s="16" t="s">
        <v>234</v>
      </c>
      <c r="C258" s="13"/>
      <c r="D258" s="14"/>
      <c r="E258" s="15"/>
      <c r="F258" s="14"/>
      <c r="G258" s="24">
        <f aca="true" t="shared" si="41" ref="G258:M258">SUBTOTAL(9,G69:G255)</f>
        <v>-39584000</v>
      </c>
      <c r="H258" s="21">
        <f t="shared" si="41"/>
        <v>-35802954.7</v>
      </c>
      <c r="I258" s="24">
        <f t="shared" si="41"/>
        <v>-35743000</v>
      </c>
      <c r="J258" s="23">
        <f t="shared" si="41"/>
        <v>-34589019.029999994</v>
      </c>
      <c r="K258" s="24">
        <f t="shared" si="41"/>
        <v>-37200000.2</v>
      </c>
      <c r="L258" s="21">
        <f t="shared" si="41"/>
        <v>-26880247.84</v>
      </c>
      <c r="M258" s="24">
        <f t="shared" si="41"/>
        <v>-38764000</v>
      </c>
      <c r="R258" s="24">
        <f>SUBTOTAL(9,R69:R255)</f>
        <v>-1533999.7999999998</v>
      </c>
    </row>
    <row r="259" spans="1:18" s="7" customFormat="1" ht="15" customHeight="1">
      <c r="A259" s="13"/>
      <c r="B259" s="16" t="s">
        <v>235</v>
      </c>
      <c r="C259" s="13"/>
      <c r="D259" s="14"/>
      <c r="E259" s="15"/>
      <c r="F259" s="15"/>
      <c r="G259" s="24">
        <f aca="true" t="shared" si="42" ref="G259:L259">SUBTOTAL(9,G2:G255)</f>
        <v>0</v>
      </c>
      <c r="H259" s="21">
        <f t="shared" si="42"/>
        <v>-508790.84000002366</v>
      </c>
      <c r="I259" s="24">
        <f t="shared" si="42"/>
        <v>0</v>
      </c>
      <c r="J259" s="23">
        <f t="shared" si="42"/>
        <v>-0.35000000812578946</v>
      </c>
      <c r="K259" s="24">
        <f t="shared" si="42"/>
        <v>-0.20000000018626451</v>
      </c>
      <c r="L259" s="21">
        <f t="shared" si="42"/>
        <v>1598958.63</v>
      </c>
      <c r="M259" s="24">
        <f>SUBTOTAL(9,M2:M255)</f>
        <v>0</v>
      </c>
      <c r="R259" s="24">
        <f>SUBTOTAL(9,R2:R255)</f>
        <v>60000.20000000007</v>
      </c>
    </row>
    <row r="260" ht="12.75">
      <c r="K260" s="47"/>
    </row>
    <row r="263" spans="2:18" ht="12.75">
      <c r="B263" t="s">
        <v>14</v>
      </c>
      <c r="G263" s="47">
        <f>SUBTOTAL(9,G2:G68)</f>
        <v>39584000</v>
      </c>
      <c r="H263" s="53">
        <f aca="true" t="shared" si="43" ref="H263:R263">SUBTOTAL(9,H2:H68)</f>
        <v>35294163.85999999</v>
      </c>
      <c r="I263" s="53">
        <f t="shared" si="43"/>
        <v>35743000</v>
      </c>
      <c r="J263" s="53">
        <f t="shared" si="43"/>
        <v>34589018.68</v>
      </c>
      <c r="K263" s="53">
        <f t="shared" si="43"/>
        <v>37200000</v>
      </c>
      <c r="L263" s="53">
        <f t="shared" si="43"/>
        <v>28479206.47</v>
      </c>
      <c r="M263" s="53">
        <f t="shared" si="43"/>
        <v>38764000</v>
      </c>
      <c r="N263" s="47">
        <f t="shared" si="43"/>
        <v>0</v>
      </c>
      <c r="O263" s="47">
        <f t="shared" si="43"/>
        <v>0</v>
      </c>
      <c r="P263" s="50"/>
      <c r="Q263" s="50"/>
      <c r="R263" s="47">
        <f t="shared" si="43"/>
        <v>1594000</v>
      </c>
    </row>
    <row r="264" spans="2:18" ht="12.75">
      <c r="B264" t="s">
        <v>68</v>
      </c>
      <c r="G264">
        <f>SUBTOTAL(9,G69:G259)</f>
        <v>-39584000</v>
      </c>
      <c r="H264" s="54">
        <f aca="true" t="shared" si="44" ref="H264:R264">SUBTOTAL(9,H69:H259)</f>
        <v>-35802954.7</v>
      </c>
      <c r="I264" s="54">
        <f t="shared" si="44"/>
        <v>-35743000</v>
      </c>
      <c r="J264" s="54">
        <f t="shared" si="44"/>
        <v>-34589019.029999994</v>
      </c>
      <c r="K264" s="54">
        <f t="shared" si="44"/>
        <v>-37200000.2</v>
      </c>
      <c r="L264" s="54">
        <f t="shared" si="44"/>
        <v>-26880247.84</v>
      </c>
      <c r="M264" s="54">
        <f t="shared" si="44"/>
        <v>-38764000</v>
      </c>
      <c r="N264">
        <f t="shared" si="44"/>
        <v>0</v>
      </c>
      <c r="O264">
        <f t="shared" si="44"/>
        <v>0</v>
      </c>
      <c r="P264" s="51"/>
      <c r="Q264" s="58">
        <f>M264-K264</f>
        <v>-1563999.799999997</v>
      </c>
      <c r="R264">
        <f t="shared" si="44"/>
        <v>-1533999.7999999998</v>
      </c>
    </row>
    <row r="265" spans="7:18" ht="13.5" thickBot="1">
      <c r="G265" s="49">
        <f>SUM(G263:G264)</f>
        <v>0</v>
      </c>
      <c r="H265" s="55">
        <f aca="true" t="shared" si="45" ref="H265:R265">SUM(H263:H264)</f>
        <v>-508790.840000011</v>
      </c>
      <c r="I265" s="55">
        <f t="shared" si="45"/>
        <v>0</v>
      </c>
      <c r="J265" s="55">
        <f t="shared" si="45"/>
        <v>-0.3499999940395355</v>
      </c>
      <c r="K265" s="55">
        <f t="shared" si="45"/>
        <v>-0.20000000298023224</v>
      </c>
      <c r="L265" s="55">
        <f t="shared" si="45"/>
        <v>1598958.629999999</v>
      </c>
      <c r="M265" s="55">
        <f t="shared" si="45"/>
        <v>0</v>
      </c>
      <c r="N265" s="49">
        <f t="shared" si="45"/>
        <v>0</v>
      </c>
      <c r="O265" s="49">
        <f t="shared" si="45"/>
        <v>0</v>
      </c>
      <c r="P265" s="50"/>
      <c r="Q265" s="50"/>
      <c r="R265" s="49">
        <f t="shared" si="45"/>
        <v>60000.200000000186</v>
      </c>
    </row>
    <row r="266" spans="16:17" ht="13.5" thickTop="1">
      <c r="P266" s="51"/>
      <c r="Q266" s="51"/>
    </row>
  </sheetData>
  <sheetProtection/>
  <autoFilter ref="A1:O258"/>
  <printOptions/>
  <pageMargins left="0" right="0" top="0" bottom="0" header="0" footer="0"/>
  <pageSetup fitToHeight="0" fitToWidth="1" horizontalDpi="600" verticalDpi="600" orientation="landscape" paperSize="8" r:id="rId3"/>
  <headerFooter>
    <oddHeader>&amp;C&amp;"Arial,מודגש"&amp;30 השוואת תקציבים 2015-2017</oddHead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rightToLeft="1" tabSelected="1" zoomScale="130" zoomScaleNormal="130" zoomScaleSheetLayoutView="70" zoomScalePageLayoutView="0" workbookViewId="0" topLeftCell="A1">
      <pane xSplit="2" ySplit="1" topLeftCell="C22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I238" sqref="AI238"/>
    </sheetView>
  </sheetViews>
  <sheetFormatPr defaultColWidth="9.140625" defaultRowHeight="12.75" outlineLevelRow="4"/>
  <cols>
    <col min="1" max="1" width="12.57421875" style="0" bestFit="1" customWidth="1"/>
    <col min="2" max="2" width="25.28125" style="0" customWidth="1"/>
    <col min="3" max="3" width="13.57421875" style="0" bestFit="1" customWidth="1"/>
    <col min="4" max="4" width="13.00390625" style="0" customWidth="1"/>
    <col min="5" max="5" width="40.7109375" style="0" hidden="1" customWidth="1"/>
    <col min="6" max="6" width="0" style="0" hidden="1" customWidth="1"/>
    <col min="7" max="7" width="11.57421875" style="0" customWidth="1"/>
    <col min="8" max="33" width="0" style="0" hidden="1" customWidth="1"/>
  </cols>
  <sheetData>
    <row r="1" spans="1:7" s="61" customFormat="1" ht="38.25" customHeight="1" thickBot="1">
      <c r="A1" s="62" t="s">
        <v>1</v>
      </c>
      <c r="B1" s="62" t="s">
        <v>5</v>
      </c>
      <c r="C1" s="62" t="s">
        <v>10</v>
      </c>
      <c r="D1" s="62" t="s">
        <v>250</v>
      </c>
      <c r="E1" s="63"/>
      <c r="F1" s="63"/>
      <c r="G1" s="64" t="s">
        <v>292</v>
      </c>
    </row>
    <row r="2" spans="1:7" ht="15" customHeight="1" outlineLevel="4">
      <c r="A2" s="59" t="s">
        <v>14</v>
      </c>
      <c r="B2" s="59" t="s">
        <v>16</v>
      </c>
      <c r="C2" s="60">
        <v>14779000</v>
      </c>
      <c r="D2" s="60">
        <v>14165000</v>
      </c>
      <c r="G2" s="47">
        <f>D2-C2</f>
        <v>-614000</v>
      </c>
    </row>
    <row r="3" spans="1:7" ht="15" customHeight="1" outlineLevel="4">
      <c r="A3" s="2" t="s">
        <v>14</v>
      </c>
      <c r="B3" s="2" t="s">
        <v>19</v>
      </c>
      <c r="C3" s="17">
        <v>3883000</v>
      </c>
      <c r="D3" s="17">
        <v>4670000</v>
      </c>
      <c r="G3" s="47">
        <f>D3-C3</f>
        <v>787000</v>
      </c>
    </row>
    <row r="4" spans="1:7" ht="15" customHeight="1" outlineLevel="4">
      <c r="A4" s="2" t="s">
        <v>14</v>
      </c>
      <c r="B4" s="2" t="s">
        <v>20</v>
      </c>
      <c r="C4" s="17">
        <v>525000</v>
      </c>
      <c r="D4" s="17">
        <v>680000</v>
      </c>
      <c r="G4" s="47">
        <f>D4-C4</f>
        <v>155000</v>
      </c>
    </row>
    <row r="5" spans="1:7" s="7" customFormat="1" ht="15" customHeight="1" outlineLevel="3">
      <c r="A5" s="9"/>
      <c r="B5" s="9"/>
      <c r="C5" s="19">
        <f>SUBTOTAL(9,C2:C4)</f>
        <v>19187000</v>
      </c>
      <c r="D5" s="19">
        <f>SUBTOTAL(9,D2:D4)</f>
        <v>19515000</v>
      </c>
      <c r="F5" s="27"/>
      <c r="G5" s="19">
        <f>SUBTOTAL(9,G2:G4)</f>
        <v>328000</v>
      </c>
    </row>
    <row r="6" spans="1:7" ht="15" customHeight="1" outlineLevel="4">
      <c r="A6" s="2" t="s">
        <v>14</v>
      </c>
      <c r="B6" s="2" t="s">
        <v>24</v>
      </c>
      <c r="C6" s="17">
        <v>300000</v>
      </c>
      <c r="D6" s="17">
        <v>270000</v>
      </c>
      <c r="G6" s="17"/>
    </row>
    <row r="7" spans="1:7" s="7" customFormat="1" ht="15" customHeight="1" outlineLevel="3">
      <c r="A7" s="9"/>
      <c r="B7" s="9"/>
      <c r="C7" s="19">
        <f>SUBTOTAL(9,C6:C6)</f>
        <v>300000</v>
      </c>
      <c r="D7" s="19">
        <f>SUBTOTAL(9,D6:D6)</f>
        <v>270000</v>
      </c>
      <c r="G7" s="19">
        <f>SUBTOTAL(9,G6:G6)</f>
        <v>0</v>
      </c>
    </row>
    <row r="8" spans="1:7" ht="15" customHeight="1" outlineLevel="4">
      <c r="A8" s="2" t="s">
        <v>14</v>
      </c>
      <c r="B8" s="2" t="s">
        <v>25</v>
      </c>
      <c r="C8" s="17">
        <v>30000</v>
      </c>
      <c r="D8" s="17">
        <v>30000</v>
      </c>
      <c r="G8" s="47">
        <f aca="true" t="shared" si="0" ref="G8:G31">D8-C8</f>
        <v>0</v>
      </c>
    </row>
    <row r="9" spans="1:7" ht="15" customHeight="1" outlineLevel="4">
      <c r="A9" s="2" t="s">
        <v>14</v>
      </c>
      <c r="B9" s="2" t="s">
        <v>26</v>
      </c>
      <c r="C9" s="17">
        <v>68000</v>
      </c>
      <c r="D9" s="17">
        <v>90000</v>
      </c>
      <c r="G9" s="47">
        <f t="shared" si="0"/>
        <v>22000</v>
      </c>
    </row>
    <row r="10" spans="1:7" ht="15" customHeight="1" outlineLevel="4">
      <c r="A10" s="2" t="s">
        <v>14</v>
      </c>
      <c r="B10" s="2" t="s">
        <v>27</v>
      </c>
      <c r="C10" s="17">
        <v>19000</v>
      </c>
      <c r="D10" s="17">
        <v>19000</v>
      </c>
      <c r="G10" s="47">
        <f t="shared" si="0"/>
        <v>0</v>
      </c>
    </row>
    <row r="11" spans="1:7" ht="15" customHeight="1" outlineLevel="4">
      <c r="A11" s="2" t="s">
        <v>14</v>
      </c>
      <c r="B11" s="2" t="s">
        <v>28</v>
      </c>
      <c r="C11" s="17">
        <v>8000</v>
      </c>
      <c r="D11" s="17">
        <v>29500</v>
      </c>
      <c r="G11" s="47">
        <f t="shared" si="0"/>
        <v>21500</v>
      </c>
    </row>
    <row r="12" spans="1:7" ht="15" customHeight="1" outlineLevel="4">
      <c r="A12" s="2" t="s">
        <v>14</v>
      </c>
      <c r="B12" s="2" t="s">
        <v>29</v>
      </c>
      <c r="C12" s="17">
        <v>7000</v>
      </c>
      <c r="D12" s="17">
        <v>0</v>
      </c>
      <c r="G12" s="47">
        <f t="shared" si="0"/>
        <v>-7000</v>
      </c>
    </row>
    <row r="13" spans="1:7" ht="15" customHeight="1" outlineLevel="4">
      <c r="A13" s="2" t="s">
        <v>14</v>
      </c>
      <c r="B13" s="2" t="s">
        <v>30</v>
      </c>
      <c r="C13" s="17">
        <v>46000</v>
      </c>
      <c r="D13" s="17">
        <v>105000</v>
      </c>
      <c r="G13" s="47">
        <f t="shared" si="0"/>
        <v>59000</v>
      </c>
    </row>
    <row r="14" spans="1:7" ht="15" customHeight="1" outlineLevel="4">
      <c r="A14" s="2" t="s">
        <v>14</v>
      </c>
      <c r="B14" s="2" t="s">
        <v>31</v>
      </c>
      <c r="C14" s="17">
        <v>100000</v>
      </c>
      <c r="D14" s="17">
        <v>100000</v>
      </c>
      <c r="G14" s="47">
        <f t="shared" si="0"/>
        <v>0</v>
      </c>
    </row>
    <row r="15" spans="1:7" ht="15" customHeight="1" outlineLevel="4">
      <c r="A15" s="2" t="s">
        <v>14</v>
      </c>
      <c r="B15" s="2" t="s">
        <v>32</v>
      </c>
      <c r="C15" s="17">
        <v>0</v>
      </c>
      <c r="D15" s="17">
        <v>0</v>
      </c>
      <c r="G15" s="47">
        <f t="shared" si="0"/>
        <v>0</v>
      </c>
    </row>
    <row r="16" spans="1:7" ht="15" customHeight="1" outlineLevel="4">
      <c r="A16" s="2" t="s">
        <v>14</v>
      </c>
      <c r="B16" s="2" t="s">
        <v>33</v>
      </c>
      <c r="C16" s="17">
        <v>970000</v>
      </c>
      <c r="D16" s="17">
        <v>1000000</v>
      </c>
      <c r="G16" s="47">
        <f t="shared" si="0"/>
        <v>30000</v>
      </c>
    </row>
    <row r="17" spans="1:7" ht="15" customHeight="1" outlineLevel="4">
      <c r="A17" s="2" t="s">
        <v>14</v>
      </c>
      <c r="B17" s="2" t="s">
        <v>34</v>
      </c>
      <c r="C17" s="17">
        <v>80000</v>
      </c>
      <c r="D17" s="17">
        <v>70000</v>
      </c>
      <c r="G17" s="47">
        <f t="shared" si="0"/>
        <v>-10000</v>
      </c>
    </row>
    <row r="18" spans="1:7" ht="15" customHeight="1" outlineLevel="4">
      <c r="A18" s="2" t="s">
        <v>14</v>
      </c>
      <c r="B18" s="2" t="s">
        <v>35</v>
      </c>
      <c r="C18" s="17">
        <v>0</v>
      </c>
      <c r="D18" s="17">
        <v>40000</v>
      </c>
      <c r="G18" s="47">
        <f t="shared" si="0"/>
        <v>40000</v>
      </c>
    </row>
    <row r="19" spans="1:7" ht="15" customHeight="1" outlineLevel="4">
      <c r="A19" s="2" t="s">
        <v>14</v>
      </c>
      <c r="B19" s="2" t="s">
        <v>36</v>
      </c>
      <c r="C19" s="17">
        <v>110000</v>
      </c>
      <c r="D19" s="17">
        <v>200000</v>
      </c>
      <c r="G19" s="47">
        <f t="shared" si="0"/>
        <v>90000</v>
      </c>
    </row>
    <row r="20" spans="1:7" ht="15" customHeight="1" outlineLevel="4">
      <c r="A20" s="2" t="s">
        <v>14</v>
      </c>
      <c r="B20" s="2" t="s">
        <v>37</v>
      </c>
      <c r="C20" s="17">
        <v>1000</v>
      </c>
      <c r="D20" s="17">
        <v>2500</v>
      </c>
      <c r="G20" s="47">
        <f t="shared" si="0"/>
        <v>1500</v>
      </c>
    </row>
    <row r="21" spans="1:7" ht="15" customHeight="1" outlineLevel="4">
      <c r="A21" s="2" t="s">
        <v>14</v>
      </c>
      <c r="B21" s="2" t="s">
        <v>38</v>
      </c>
      <c r="C21" s="17">
        <v>2000</v>
      </c>
      <c r="D21" s="17">
        <v>2000</v>
      </c>
      <c r="G21" s="47">
        <f t="shared" si="0"/>
        <v>0</v>
      </c>
    </row>
    <row r="22" spans="1:7" ht="15" customHeight="1" outlineLevel="4">
      <c r="A22" s="2" t="s">
        <v>14</v>
      </c>
      <c r="B22" s="2" t="s">
        <v>298</v>
      </c>
      <c r="C22" s="17">
        <v>0</v>
      </c>
      <c r="D22" s="17">
        <v>515000</v>
      </c>
      <c r="G22" s="47">
        <f t="shared" si="0"/>
        <v>515000</v>
      </c>
    </row>
    <row r="23" spans="1:7" ht="15" customHeight="1" outlineLevel="4">
      <c r="A23" s="2" t="s">
        <v>14</v>
      </c>
      <c r="B23" s="2" t="s">
        <v>40</v>
      </c>
      <c r="C23" s="17">
        <v>2780000</v>
      </c>
      <c r="D23" s="17">
        <v>2932000</v>
      </c>
      <c r="G23" s="47">
        <f t="shared" si="0"/>
        <v>152000</v>
      </c>
    </row>
    <row r="24" spans="1:7" ht="15" customHeight="1" outlineLevel="4">
      <c r="A24" s="2" t="s">
        <v>14</v>
      </c>
      <c r="B24" s="2" t="s">
        <v>41</v>
      </c>
      <c r="C24" s="17">
        <v>910000</v>
      </c>
      <c r="D24" s="17">
        <f>953000+60000</f>
        <v>1013000</v>
      </c>
      <c r="G24" s="47">
        <f t="shared" si="0"/>
        <v>103000</v>
      </c>
    </row>
    <row r="25" spans="1:8" ht="15" customHeight="1" outlineLevel="4">
      <c r="A25" s="2" t="s">
        <v>14</v>
      </c>
      <c r="B25" s="2" t="s">
        <v>42</v>
      </c>
      <c r="C25" s="17">
        <v>380000</v>
      </c>
      <c r="D25" s="17">
        <v>28000</v>
      </c>
      <c r="G25" s="47">
        <f t="shared" si="0"/>
        <v>-352000</v>
      </c>
      <c r="H25" t="e">
        <f>#REF!/#REF!*$G$26</f>
        <v>#REF!</v>
      </c>
    </row>
    <row r="26" spans="1:8" ht="15" customHeight="1" outlineLevel="4">
      <c r="A26" s="2" t="s">
        <v>14</v>
      </c>
      <c r="B26" s="2" t="s">
        <v>43</v>
      </c>
      <c r="C26" s="17">
        <v>0</v>
      </c>
      <c r="D26" s="17">
        <v>24000</v>
      </c>
      <c r="G26" s="47">
        <f t="shared" si="0"/>
        <v>24000</v>
      </c>
      <c r="H26" t="e">
        <f>#REF!/#REF!*$G$26</f>
        <v>#REF!</v>
      </c>
    </row>
    <row r="27" spans="1:8" ht="15" customHeight="1" outlineLevel="4">
      <c r="A27" s="2" t="s">
        <v>14</v>
      </c>
      <c r="B27" s="2" t="s">
        <v>44</v>
      </c>
      <c r="C27" s="17">
        <v>0</v>
      </c>
      <c r="D27" s="17">
        <v>368000</v>
      </c>
      <c r="G27" s="47">
        <f t="shared" si="0"/>
        <v>368000</v>
      </c>
      <c r="H27" t="e">
        <f>#REF!/#REF!*$G$26</f>
        <v>#REF!</v>
      </c>
    </row>
    <row r="28" spans="1:7" ht="15" customHeight="1" outlineLevel="4">
      <c r="A28" s="2" t="s">
        <v>14</v>
      </c>
      <c r="B28" s="2" t="s">
        <v>45</v>
      </c>
      <c r="C28" s="17">
        <v>700000</v>
      </c>
      <c r="D28" s="17">
        <v>600000</v>
      </c>
      <c r="G28" s="47">
        <f t="shared" si="0"/>
        <v>-100000</v>
      </c>
    </row>
    <row r="29" spans="1:7" ht="15" customHeight="1" outlineLevel="4">
      <c r="A29" s="2" t="s">
        <v>14</v>
      </c>
      <c r="B29" s="2" t="s">
        <v>46</v>
      </c>
      <c r="C29" s="17">
        <v>0</v>
      </c>
      <c r="D29" s="17">
        <v>0</v>
      </c>
      <c r="G29" s="47">
        <f t="shared" si="0"/>
        <v>0</v>
      </c>
    </row>
    <row r="30" spans="1:7" ht="15" customHeight="1" outlineLevel="4">
      <c r="A30" s="2" t="s">
        <v>14</v>
      </c>
      <c r="B30" s="2" t="s">
        <v>47</v>
      </c>
      <c r="C30" s="17">
        <v>0</v>
      </c>
      <c r="D30" s="17">
        <v>0</v>
      </c>
      <c r="G30" s="47">
        <f t="shared" si="0"/>
        <v>0</v>
      </c>
    </row>
    <row r="31" spans="1:7" ht="15" customHeight="1" outlineLevel="4">
      <c r="A31" s="2" t="s">
        <v>14</v>
      </c>
      <c r="B31" s="2" t="s">
        <v>48</v>
      </c>
      <c r="C31" s="17">
        <v>9081000</v>
      </c>
      <c r="D31" s="52">
        <v>9274000</v>
      </c>
      <c r="G31" s="47">
        <f t="shared" si="0"/>
        <v>193000</v>
      </c>
    </row>
    <row r="32" spans="1:7" s="7" customFormat="1" ht="15" customHeight="1" outlineLevel="3">
      <c r="A32" s="9"/>
      <c r="B32" s="9"/>
      <c r="C32" s="19">
        <f>SUBTOTAL(9,C8:C31)</f>
        <v>15292000</v>
      </c>
      <c r="D32" s="19">
        <f>SUBTOTAL(9,D8:D31)</f>
        <v>16442000</v>
      </c>
      <c r="G32" s="19">
        <f>SUBTOTAL(9,G8:G31)</f>
        <v>1150000</v>
      </c>
    </row>
    <row r="33" spans="1:7" s="7" customFormat="1" ht="15" customHeight="1" outlineLevel="2">
      <c r="A33" s="9"/>
      <c r="B33" s="12" t="s">
        <v>236</v>
      </c>
      <c r="C33" s="19">
        <f>SUBTOTAL(9,C2:C31)</f>
        <v>34779000</v>
      </c>
      <c r="D33" s="19">
        <f>SUBTOTAL(9,D2:D31)</f>
        <v>36227000</v>
      </c>
      <c r="G33" s="19">
        <f>SUBTOTAL(9,G2:G31)</f>
        <v>1478000</v>
      </c>
    </row>
    <row r="34" spans="1:7" ht="15" customHeight="1" outlineLevel="4">
      <c r="A34" s="2" t="s">
        <v>14</v>
      </c>
      <c r="B34" s="2" t="s">
        <v>50</v>
      </c>
      <c r="C34" s="17">
        <v>955000</v>
      </c>
      <c r="D34" s="17">
        <v>894000</v>
      </c>
      <c r="G34" s="47">
        <f aca="true" t="shared" si="1" ref="G34:G39">D34-C34</f>
        <v>-61000</v>
      </c>
    </row>
    <row r="35" spans="1:7" ht="15" customHeight="1" outlineLevel="4">
      <c r="A35" s="2" t="s">
        <v>14</v>
      </c>
      <c r="B35" s="2" t="s">
        <v>51</v>
      </c>
      <c r="C35" s="17">
        <v>423000</v>
      </c>
      <c r="D35" s="17">
        <v>638000</v>
      </c>
      <c r="G35" s="47">
        <f t="shared" si="1"/>
        <v>215000</v>
      </c>
    </row>
    <row r="36" spans="1:7" ht="15" customHeight="1" outlineLevel="4">
      <c r="A36" s="2" t="s">
        <v>14</v>
      </c>
      <c r="B36" s="2" t="s">
        <v>52</v>
      </c>
      <c r="C36" s="17">
        <v>20000</v>
      </c>
      <c r="D36" s="17">
        <v>20000</v>
      </c>
      <c r="G36" s="47">
        <f t="shared" si="1"/>
        <v>0</v>
      </c>
    </row>
    <row r="37" spans="1:7" ht="15" customHeight="1" outlineLevel="4">
      <c r="A37" s="2" t="s">
        <v>14</v>
      </c>
      <c r="B37" s="2" t="s">
        <v>53</v>
      </c>
      <c r="C37" s="17">
        <v>130000</v>
      </c>
      <c r="D37" s="17">
        <v>126000</v>
      </c>
      <c r="G37" s="47">
        <f t="shared" si="1"/>
        <v>-4000</v>
      </c>
    </row>
    <row r="38" spans="1:7" ht="15" customHeight="1" outlineLevel="4">
      <c r="A38" s="2" t="s">
        <v>14</v>
      </c>
      <c r="B38" s="2" t="s">
        <v>54</v>
      </c>
      <c r="C38" s="17">
        <v>100000</v>
      </c>
      <c r="D38" s="17">
        <v>100000</v>
      </c>
      <c r="G38" s="47">
        <f t="shared" si="1"/>
        <v>0</v>
      </c>
    </row>
    <row r="39" spans="1:7" ht="15" customHeight="1" outlineLevel="4">
      <c r="A39" s="2" t="s">
        <v>14</v>
      </c>
      <c r="B39" s="2" t="s">
        <v>55</v>
      </c>
      <c r="C39" s="17">
        <v>20000</v>
      </c>
      <c r="D39" s="17">
        <v>65000</v>
      </c>
      <c r="G39" s="47">
        <f t="shared" si="1"/>
        <v>45000</v>
      </c>
    </row>
    <row r="40" spans="1:7" s="7" customFormat="1" ht="15" customHeight="1" outlineLevel="3">
      <c r="A40" s="9"/>
      <c r="B40" s="9"/>
      <c r="C40" s="19">
        <f>SUBTOTAL(9,C34:C39)</f>
        <v>1648000</v>
      </c>
      <c r="D40" s="19">
        <f>SUBTOTAL(9,D34:D39)</f>
        <v>1843000</v>
      </c>
      <c r="G40" s="19">
        <f>SUBTOTAL(9,G34:G39)</f>
        <v>195000</v>
      </c>
    </row>
    <row r="41" spans="1:7" s="7" customFormat="1" ht="15" customHeight="1" outlineLevel="2">
      <c r="A41" s="9"/>
      <c r="B41" s="12" t="s">
        <v>237</v>
      </c>
      <c r="C41" s="19">
        <f>SUBTOTAL(9,C34:C39)</f>
        <v>1648000</v>
      </c>
      <c r="D41" s="19">
        <f>SUBTOTAL(9,D34:D39)</f>
        <v>1843000</v>
      </c>
      <c r="G41" s="19">
        <f>SUBTOTAL(9,G34:G39)</f>
        <v>195000</v>
      </c>
    </row>
    <row r="42" spans="1:7" ht="15" customHeight="1" outlineLevel="4">
      <c r="A42" s="2" t="s">
        <v>14</v>
      </c>
      <c r="B42" s="2" t="s">
        <v>57</v>
      </c>
      <c r="C42" s="17">
        <v>500000</v>
      </c>
      <c r="D42" s="17">
        <v>550000</v>
      </c>
      <c r="G42" s="47">
        <f>D42-C42</f>
        <v>50000</v>
      </c>
    </row>
    <row r="43" spans="1:7" s="7" customFormat="1" ht="15" customHeight="1" outlineLevel="3">
      <c r="A43" s="9"/>
      <c r="B43" s="9"/>
      <c r="C43" s="19">
        <f>SUBTOTAL(9,C42:C42)</f>
        <v>500000</v>
      </c>
      <c r="D43" s="19">
        <f>SUBTOTAL(9,D42:D42)</f>
        <v>550000</v>
      </c>
      <c r="G43" s="19">
        <f>SUBTOTAL(9,G42:G42)</f>
        <v>50000</v>
      </c>
    </row>
    <row r="44" spans="1:7" s="7" customFormat="1" ht="15" customHeight="1" outlineLevel="2">
      <c r="A44" s="9"/>
      <c r="B44" s="12" t="s">
        <v>238</v>
      </c>
      <c r="C44" s="19">
        <f>SUBTOTAL(9,C42:C42)</f>
        <v>500000</v>
      </c>
      <c r="D44" s="19">
        <f>SUBTOTAL(9,D42:D42)</f>
        <v>550000</v>
      </c>
      <c r="G44" s="19">
        <f>SUBTOTAL(9,G42:G42)</f>
        <v>50000</v>
      </c>
    </row>
    <row r="45" spans="1:7" ht="15" customHeight="1" outlineLevel="4">
      <c r="A45" s="2" t="s">
        <v>14</v>
      </c>
      <c r="B45" s="2" t="s">
        <v>59</v>
      </c>
      <c r="C45" s="17">
        <v>26000</v>
      </c>
      <c r="D45" s="17">
        <v>0</v>
      </c>
      <c r="G45" s="47">
        <f>D45-C45</f>
        <v>-26000</v>
      </c>
    </row>
    <row r="46" spans="1:7" ht="15" customHeight="1" outlineLevel="4">
      <c r="A46" s="2" t="s">
        <v>14</v>
      </c>
      <c r="B46" s="2" t="s">
        <v>60</v>
      </c>
      <c r="C46" s="17">
        <v>0</v>
      </c>
      <c r="D46" s="17">
        <v>0</v>
      </c>
      <c r="G46" s="47">
        <f>D46-C46</f>
        <v>0</v>
      </c>
    </row>
    <row r="47" spans="1:7" ht="15" customHeight="1" outlineLevel="4">
      <c r="A47" s="2" t="s">
        <v>14</v>
      </c>
      <c r="B47" s="2" t="s">
        <v>61</v>
      </c>
      <c r="C47" s="17">
        <v>74000</v>
      </c>
      <c r="D47" s="17">
        <v>80000</v>
      </c>
      <c r="G47" s="47">
        <f>D47-C47</f>
        <v>6000</v>
      </c>
    </row>
    <row r="48" spans="1:7" s="7" customFormat="1" ht="15" customHeight="1" outlineLevel="3">
      <c r="A48" s="9"/>
      <c r="B48" s="9"/>
      <c r="C48" s="19">
        <f>SUBTOTAL(9,C45:C47)</f>
        <v>100000</v>
      </c>
      <c r="D48" s="19">
        <f>SUBTOTAL(9,D45:D47)</f>
        <v>80000</v>
      </c>
      <c r="G48" s="19">
        <f>SUBTOTAL(9,G45:G47)</f>
        <v>-20000</v>
      </c>
    </row>
    <row r="49" spans="1:7" ht="29.25" customHeight="1" outlineLevel="4">
      <c r="A49" s="2" t="s">
        <v>14</v>
      </c>
      <c r="B49" s="36" t="s">
        <v>62</v>
      </c>
      <c r="C49" s="17">
        <v>0</v>
      </c>
      <c r="D49" s="17">
        <f>-D130*60%</f>
        <v>18000</v>
      </c>
      <c r="G49" s="47">
        <f>D49-C49</f>
        <v>18000</v>
      </c>
    </row>
    <row r="50" spans="1:7" s="7" customFormat="1" ht="15" customHeight="1" outlineLevel="3">
      <c r="A50" s="9"/>
      <c r="B50" s="9"/>
      <c r="C50" s="19">
        <f>SUBTOTAL(9,C49:C49)</f>
        <v>0</v>
      </c>
      <c r="D50" s="19">
        <f>SUBTOTAL(9,D49:D49)</f>
        <v>18000</v>
      </c>
      <c r="G50" s="19">
        <f>SUBTOTAL(9,G49:G49)</f>
        <v>18000</v>
      </c>
    </row>
    <row r="51" spans="1:7" s="7" customFormat="1" ht="15" customHeight="1" outlineLevel="2">
      <c r="A51" s="9"/>
      <c r="B51" s="12" t="s">
        <v>239</v>
      </c>
      <c r="C51" s="19">
        <f>SUBTOTAL(9,C45:C49)</f>
        <v>100000</v>
      </c>
      <c r="D51" s="19">
        <f>SUBTOTAL(9,D45:D49)</f>
        <v>98000</v>
      </c>
      <c r="G51" s="19">
        <f>SUBTOTAL(9,G45:G49)</f>
        <v>-2000</v>
      </c>
    </row>
    <row r="52" spans="1:7" ht="15" customHeight="1" outlineLevel="4">
      <c r="A52" s="2" t="s">
        <v>14</v>
      </c>
      <c r="B52" s="2" t="s">
        <v>64</v>
      </c>
      <c r="C52" s="17">
        <v>170000</v>
      </c>
      <c r="D52" s="17">
        <v>0</v>
      </c>
      <c r="G52" s="47">
        <f>D52-C52</f>
        <v>-170000</v>
      </c>
    </row>
    <row r="53" spans="1:7" ht="15" customHeight="1" outlineLevel="4">
      <c r="A53" s="2" t="s">
        <v>14</v>
      </c>
      <c r="B53" s="2" t="s">
        <v>65</v>
      </c>
      <c r="C53" s="17">
        <v>3000</v>
      </c>
      <c r="D53" s="17">
        <v>3000</v>
      </c>
      <c r="G53" s="47">
        <f>D53-C53</f>
        <v>0</v>
      </c>
    </row>
    <row r="54" spans="1:7" s="7" customFormat="1" ht="15" customHeight="1" outlineLevel="3">
      <c r="A54" s="9"/>
      <c r="B54" s="9"/>
      <c r="C54" s="19">
        <f>SUBTOTAL(9,C52:C53)</f>
        <v>173000</v>
      </c>
      <c r="D54" s="19">
        <f>SUBTOTAL(9,D52:D53)</f>
        <v>3000</v>
      </c>
      <c r="G54" s="19">
        <f>SUBTOTAL(9,G52:G53)</f>
        <v>-170000</v>
      </c>
    </row>
    <row r="55" spans="1:7" s="7" customFormat="1" ht="15" customHeight="1" outlineLevel="2">
      <c r="A55" s="9"/>
      <c r="B55" s="9"/>
      <c r="C55" s="19">
        <f>SUBTOTAL(9,C52:C53)</f>
        <v>173000</v>
      </c>
      <c r="D55" s="19">
        <f>SUBTOTAL(9,D52:D53)</f>
        <v>3000</v>
      </c>
      <c r="G55" s="19">
        <f>SUBTOTAL(9,G52:G53)</f>
        <v>-170000</v>
      </c>
    </row>
    <row r="56" spans="1:7" ht="15" customHeight="1" outlineLevel="4">
      <c r="A56" s="2" t="s">
        <v>14</v>
      </c>
      <c r="B56" s="2" t="s">
        <v>67</v>
      </c>
      <c r="C56" s="17">
        <v>0</v>
      </c>
      <c r="D56" s="17">
        <v>103000</v>
      </c>
      <c r="G56" s="47">
        <f>D56-C56</f>
        <v>103000</v>
      </c>
    </row>
    <row r="57" spans="1:7" s="7" customFormat="1" ht="15" customHeight="1" outlineLevel="3">
      <c r="A57" s="9"/>
      <c r="B57" s="9"/>
      <c r="C57" s="19">
        <f>SUBTOTAL(9,C56:C56)</f>
        <v>0</v>
      </c>
      <c r="D57" s="19">
        <f>SUBTOTAL(9,D56:D56)</f>
        <v>103000</v>
      </c>
      <c r="G57" s="19">
        <f>SUBTOTAL(9,G56:G56)</f>
        <v>103000</v>
      </c>
    </row>
    <row r="58" spans="1:7" s="7" customFormat="1" ht="15" customHeight="1" outlineLevel="2">
      <c r="A58" s="9"/>
      <c r="B58" s="9"/>
      <c r="C58" s="19">
        <f>SUBTOTAL(9,C56:C56)</f>
        <v>0</v>
      </c>
      <c r="D58" s="19">
        <f>SUBTOTAL(9,D56:D56)</f>
        <v>103000</v>
      </c>
      <c r="G58" s="19">
        <f>SUBTOTAL(9,G56:G56)</f>
        <v>103000</v>
      </c>
    </row>
    <row r="59" spans="1:7" s="7" customFormat="1" ht="15" customHeight="1" outlineLevel="1">
      <c r="A59" s="12" t="s">
        <v>233</v>
      </c>
      <c r="B59" s="9"/>
      <c r="C59" s="19">
        <f>SUBTOTAL(9,C2:C56)</f>
        <v>37200000</v>
      </c>
      <c r="D59" s="19">
        <f>SUBTOTAL(9,D2:D56)</f>
        <v>38824000</v>
      </c>
      <c r="G59" s="19">
        <f>SUBTOTAL(9,G2:G56)</f>
        <v>1654000</v>
      </c>
    </row>
    <row r="60" spans="1:7" ht="15" customHeight="1" outlineLevel="4">
      <c r="A60" s="2" t="s">
        <v>68</v>
      </c>
      <c r="B60" s="2" t="s">
        <v>70</v>
      </c>
      <c r="C60" s="17">
        <v>-630000</v>
      </c>
      <c r="D60" s="17">
        <v>-630000</v>
      </c>
      <c r="G60" s="47">
        <f aca="true" t="shared" si="2" ref="G60:G95">D60-C60</f>
        <v>0</v>
      </c>
    </row>
    <row r="61" spans="1:7" ht="15" customHeight="1" outlineLevel="4">
      <c r="A61" s="2" t="s">
        <v>68</v>
      </c>
      <c r="B61" s="2" t="s">
        <v>71</v>
      </c>
      <c r="C61" s="17">
        <v>-92000</v>
      </c>
      <c r="D61" s="17">
        <v>-102000</v>
      </c>
      <c r="G61" s="47">
        <f t="shared" si="2"/>
        <v>-10000</v>
      </c>
    </row>
    <row r="62" spans="1:7" ht="15" customHeight="1" outlineLevel="4">
      <c r="A62" s="2" t="s">
        <v>68</v>
      </c>
      <c r="B62" s="2" t="s">
        <v>72</v>
      </c>
      <c r="C62" s="17">
        <v>-129000</v>
      </c>
      <c r="D62" s="17">
        <v>-102000</v>
      </c>
      <c r="G62" s="47">
        <f t="shared" si="2"/>
        <v>27000</v>
      </c>
    </row>
    <row r="63" spans="1:7" ht="15" customHeight="1" outlineLevel="4">
      <c r="A63" s="2" t="s">
        <v>68</v>
      </c>
      <c r="B63" s="2" t="s">
        <v>73</v>
      </c>
      <c r="C63" s="17">
        <v>0</v>
      </c>
      <c r="D63" s="17">
        <v>0</v>
      </c>
      <c r="G63" s="47">
        <f t="shared" si="2"/>
        <v>0</v>
      </c>
    </row>
    <row r="64" spans="1:7" ht="15" customHeight="1" outlineLevel="4">
      <c r="A64" s="2" t="s">
        <v>68</v>
      </c>
      <c r="B64" s="2" t="s">
        <v>74</v>
      </c>
      <c r="C64" s="17">
        <v>-350000</v>
      </c>
      <c r="D64" s="17">
        <v>-377000</v>
      </c>
      <c r="G64" s="47">
        <f t="shared" si="2"/>
        <v>-27000</v>
      </c>
    </row>
    <row r="65" spans="1:7" ht="15" customHeight="1" outlineLevel="4">
      <c r="A65" s="2" t="s">
        <v>68</v>
      </c>
      <c r="B65" s="2" t="s">
        <v>75</v>
      </c>
      <c r="C65" s="17">
        <v>-49000</v>
      </c>
      <c r="D65" s="17">
        <v>-173000</v>
      </c>
      <c r="G65" s="47">
        <f t="shared" si="2"/>
        <v>-124000</v>
      </c>
    </row>
    <row r="66" spans="1:7" ht="15" customHeight="1" outlineLevel="4">
      <c r="A66" s="2" t="s">
        <v>68</v>
      </c>
      <c r="B66" s="2" t="s">
        <v>76</v>
      </c>
      <c r="C66" s="17">
        <v>0</v>
      </c>
      <c r="D66" s="17">
        <v>0</v>
      </c>
      <c r="G66" s="47">
        <f t="shared" si="2"/>
        <v>0</v>
      </c>
    </row>
    <row r="67" spans="1:7" ht="15" customHeight="1" outlineLevel="4">
      <c r="A67" s="2" t="s">
        <v>68</v>
      </c>
      <c r="B67" s="2" t="s">
        <v>77</v>
      </c>
      <c r="C67" s="17">
        <v>-121000</v>
      </c>
      <c r="D67" s="17">
        <v>-121000</v>
      </c>
      <c r="G67" s="47">
        <f t="shared" si="2"/>
        <v>0</v>
      </c>
    </row>
    <row r="68" spans="1:7" ht="15" customHeight="1" outlineLevel="4">
      <c r="A68" s="2" t="s">
        <v>68</v>
      </c>
      <c r="B68" s="2" t="s">
        <v>78</v>
      </c>
      <c r="C68" s="17">
        <v>-48000</v>
      </c>
      <c r="D68" s="17">
        <v>-71000</v>
      </c>
      <c r="G68" s="47">
        <f t="shared" si="2"/>
        <v>-23000</v>
      </c>
    </row>
    <row r="69" spans="1:7" ht="15" customHeight="1" outlineLevel="4">
      <c r="A69" s="2" t="s">
        <v>68</v>
      </c>
      <c r="B69" s="2" t="s">
        <v>79</v>
      </c>
      <c r="C69" s="17">
        <v>-88000</v>
      </c>
      <c r="D69" s="17">
        <v>-151000</v>
      </c>
      <c r="G69" s="47">
        <f t="shared" si="2"/>
        <v>-63000</v>
      </c>
    </row>
    <row r="70" spans="1:7" ht="15" customHeight="1" outlineLevel="4">
      <c r="A70" s="2" t="s">
        <v>68</v>
      </c>
      <c r="B70" s="2" t="s">
        <v>80</v>
      </c>
      <c r="C70" s="17">
        <v>-44000</v>
      </c>
      <c r="D70" s="17">
        <v>-75000</v>
      </c>
      <c r="G70" s="47">
        <f t="shared" si="2"/>
        <v>-31000</v>
      </c>
    </row>
    <row r="71" spans="1:7" ht="15" customHeight="1" outlineLevel="4">
      <c r="A71" s="2" t="s">
        <v>68</v>
      </c>
      <c r="B71" s="2" t="s">
        <v>289</v>
      </c>
      <c r="C71" s="17">
        <v>0</v>
      </c>
      <c r="D71" s="17">
        <v>-90000</v>
      </c>
      <c r="G71" s="47">
        <f t="shared" si="2"/>
        <v>-90000</v>
      </c>
    </row>
    <row r="72" spans="1:7" ht="15" customHeight="1" outlineLevel="4">
      <c r="A72" s="2" t="s">
        <v>68</v>
      </c>
      <c r="B72" s="2" t="s">
        <v>81</v>
      </c>
      <c r="C72" s="17">
        <v>-130000</v>
      </c>
      <c r="D72" s="17">
        <v>0</v>
      </c>
      <c r="G72" s="47">
        <f t="shared" si="2"/>
        <v>130000</v>
      </c>
    </row>
    <row r="73" spans="1:7" ht="15" customHeight="1" outlineLevel="4">
      <c r="A73" s="2" t="s">
        <v>68</v>
      </c>
      <c r="B73" s="2" t="s">
        <v>82</v>
      </c>
      <c r="C73" s="17">
        <v>-300000</v>
      </c>
      <c r="D73" s="17">
        <v>-345000</v>
      </c>
      <c r="G73" s="47">
        <f t="shared" si="2"/>
        <v>-45000</v>
      </c>
    </row>
    <row r="74" spans="1:7" ht="21.75" customHeight="1" outlineLevel="4">
      <c r="A74" s="2" t="s">
        <v>68</v>
      </c>
      <c r="B74" s="2" t="s">
        <v>83</v>
      </c>
      <c r="C74" s="17">
        <v>0</v>
      </c>
      <c r="D74" s="17">
        <v>-175000</v>
      </c>
      <c r="G74" s="47">
        <f t="shared" si="2"/>
        <v>-175000</v>
      </c>
    </row>
    <row r="75" spans="1:7" ht="15" customHeight="1" outlineLevel="4">
      <c r="A75" s="2" t="s">
        <v>68</v>
      </c>
      <c r="B75" s="2" t="s">
        <v>84</v>
      </c>
      <c r="C75" s="17">
        <v>-130000</v>
      </c>
      <c r="D75" s="17">
        <v>-187000</v>
      </c>
      <c r="G75" s="47">
        <f t="shared" si="2"/>
        <v>-57000</v>
      </c>
    </row>
    <row r="76" spans="1:7" ht="15" customHeight="1" outlineLevel="4">
      <c r="A76" s="2" t="s">
        <v>68</v>
      </c>
      <c r="B76" s="2" t="s">
        <v>260</v>
      </c>
      <c r="C76" s="17">
        <v>0</v>
      </c>
      <c r="D76" s="17"/>
      <c r="G76" s="47">
        <f t="shared" si="2"/>
        <v>0</v>
      </c>
    </row>
    <row r="77" spans="1:7" ht="15" customHeight="1" outlineLevel="4">
      <c r="A77" s="2" t="s">
        <v>68</v>
      </c>
      <c r="B77" s="2" t="s">
        <v>85</v>
      </c>
      <c r="C77" s="17">
        <v>-134000</v>
      </c>
      <c r="D77" s="17">
        <v>-65000</v>
      </c>
      <c r="G77" s="47">
        <f t="shared" si="2"/>
        <v>69000</v>
      </c>
    </row>
    <row r="78" spans="1:7" ht="15" customHeight="1" outlineLevel="4">
      <c r="A78" s="2" t="s">
        <v>68</v>
      </c>
      <c r="B78" s="2" t="s">
        <v>86</v>
      </c>
      <c r="C78" s="17">
        <v>-240000</v>
      </c>
      <c r="D78" s="17">
        <v>-365000</v>
      </c>
      <c r="G78" s="47">
        <f t="shared" si="2"/>
        <v>-125000</v>
      </c>
    </row>
    <row r="79" spans="1:7" ht="15" customHeight="1" outlineLevel="4">
      <c r="A79" s="2" t="s">
        <v>68</v>
      </c>
      <c r="B79" s="2" t="s">
        <v>87</v>
      </c>
      <c r="C79" s="17">
        <v>0</v>
      </c>
      <c r="D79" s="17">
        <v>0</v>
      </c>
      <c r="G79" s="47">
        <f t="shared" si="2"/>
        <v>0</v>
      </c>
    </row>
    <row r="80" spans="1:7" ht="15" customHeight="1" outlineLevel="4">
      <c r="A80" s="2" t="s">
        <v>68</v>
      </c>
      <c r="B80" s="2" t="s">
        <v>88</v>
      </c>
      <c r="C80" s="17">
        <v>-100000</v>
      </c>
      <c r="D80" s="17">
        <v>0</v>
      </c>
      <c r="G80" s="47">
        <f t="shared" si="2"/>
        <v>100000</v>
      </c>
    </row>
    <row r="81" spans="1:7" ht="15" customHeight="1" outlineLevel="4">
      <c r="A81" s="2" t="s">
        <v>68</v>
      </c>
      <c r="B81" s="2" t="s">
        <v>89</v>
      </c>
      <c r="C81" s="17">
        <v>-280000</v>
      </c>
      <c r="D81" s="17">
        <v>-300000</v>
      </c>
      <c r="G81" s="47">
        <f t="shared" si="2"/>
        <v>-20000</v>
      </c>
    </row>
    <row r="82" spans="1:7" ht="15" customHeight="1" outlineLevel="4">
      <c r="A82" s="2" t="s">
        <v>68</v>
      </c>
      <c r="B82" s="2" t="s">
        <v>90</v>
      </c>
      <c r="C82" s="17">
        <v>-255000</v>
      </c>
      <c r="D82" s="17">
        <v>-270000</v>
      </c>
      <c r="G82" s="47">
        <f t="shared" si="2"/>
        <v>-15000</v>
      </c>
    </row>
    <row r="83" spans="1:7" ht="15" customHeight="1" outlineLevel="4">
      <c r="A83" s="2" t="s">
        <v>68</v>
      </c>
      <c r="B83" s="2" t="s">
        <v>91</v>
      </c>
      <c r="C83" s="17">
        <v>-390000</v>
      </c>
      <c r="D83" s="17">
        <v>-407000</v>
      </c>
      <c r="G83" s="47">
        <f t="shared" si="2"/>
        <v>-17000</v>
      </c>
    </row>
    <row r="84" spans="1:7" ht="15" customHeight="1" outlineLevel="4">
      <c r="A84" s="2" t="s">
        <v>68</v>
      </c>
      <c r="B84" s="2" t="s">
        <v>92</v>
      </c>
      <c r="C84" s="17">
        <v>-358000</v>
      </c>
      <c r="D84" s="17">
        <v>-360000</v>
      </c>
      <c r="G84" s="47">
        <f t="shared" si="2"/>
        <v>-2000</v>
      </c>
    </row>
    <row r="85" spans="1:7" ht="15" customHeight="1" outlineLevel="4">
      <c r="A85" s="2" t="s">
        <v>68</v>
      </c>
      <c r="B85" s="2" t="s">
        <v>93</v>
      </c>
      <c r="C85" s="17">
        <v>-206000</v>
      </c>
      <c r="D85" s="17">
        <v>-200000</v>
      </c>
      <c r="G85" s="47">
        <f t="shared" si="2"/>
        <v>6000</v>
      </c>
    </row>
    <row r="86" spans="1:7" ht="15" customHeight="1" outlineLevel="4">
      <c r="A86" s="2" t="s">
        <v>68</v>
      </c>
      <c r="B86" s="2" t="s">
        <v>94</v>
      </c>
      <c r="C86" s="17">
        <v>-390000</v>
      </c>
      <c r="D86" s="17">
        <v>-320000</v>
      </c>
      <c r="G86" s="47">
        <f t="shared" si="2"/>
        <v>70000</v>
      </c>
    </row>
    <row r="87" spans="1:7" ht="15" customHeight="1" outlineLevel="4">
      <c r="A87" s="2" t="s">
        <v>68</v>
      </c>
      <c r="B87" s="2" t="s">
        <v>95</v>
      </c>
      <c r="C87" s="17">
        <v>-125000</v>
      </c>
      <c r="D87" s="17">
        <v>-125000</v>
      </c>
      <c r="G87" s="47">
        <f t="shared" si="2"/>
        <v>0</v>
      </c>
    </row>
    <row r="88" spans="1:7" ht="15" customHeight="1" outlineLevel="4">
      <c r="A88" s="2" t="s">
        <v>68</v>
      </c>
      <c r="B88" s="2" t="s">
        <v>96</v>
      </c>
      <c r="C88" s="17">
        <v>-257000</v>
      </c>
      <c r="D88" s="17">
        <v>-322000</v>
      </c>
      <c r="G88" s="47">
        <f t="shared" si="2"/>
        <v>-65000</v>
      </c>
    </row>
    <row r="89" spans="1:7" ht="15" customHeight="1" outlineLevel="4">
      <c r="A89" s="2" t="s">
        <v>68</v>
      </c>
      <c r="B89" s="2" t="s">
        <v>97</v>
      </c>
      <c r="C89" s="17">
        <v>-125000</v>
      </c>
      <c r="D89" s="17">
        <v>-106000</v>
      </c>
      <c r="G89" s="47">
        <f t="shared" si="2"/>
        <v>19000</v>
      </c>
    </row>
    <row r="90" spans="1:7" ht="15" customHeight="1" outlineLevel="4">
      <c r="A90" s="2" t="s">
        <v>68</v>
      </c>
      <c r="B90" s="2" t="s">
        <v>98</v>
      </c>
      <c r="C90" s="17">
        <v>-7000</v>
      </c>
      <c r="D90" s="17">
        <v>-81000</v>
      </c>
      <c r="G90" s="47">
        <f t="shared" si="2"/>
        <v>-74000</v>
      </c>
    </row>
    <row r="91" spans="1:7" ht="15" customHeight="1" outlineLevel="4">
      <c r="A91" s="2" t="s">
        <v>68</v>
      </c>
      <c r="B91" s="2" t="s">
        <v>99</v>
      </c>
      <c r="C91" s="17">
        <v>-210000</v>
      </c>
      <c r="D91" s="17">
        <v>-235000</v>
      </c>
      <c r="G91" s="47">
        <f t="shared" si="2"/>
        <v>-25000</v>
      </c>
    </row>
    <row r="92" spans="1:7" ht="15" customHeight="1" outlineLevel="4">
      <c r="A92" s="2" t="s">
        <v>68</v>
      </c>
      <c r="B92" s="2" t="s">
        <v>100</v>
      </c>
      <c r="C92" s="17">
        <v>-235000</v>
      </c>
      <c r="D92" s="17">
        <v>-240000</v>
      </c>
      <c r="G92" s="47">
        <f t="shared" si="2"/>
        <v>-5000</v>
      </c>
    </row>
    <row r="93" spans="1:7" ht="15" customHeight="1" outlineLevel="4">
      <c r="A93" s="2" t="s">
        <v>68</v>
      </c>
      <c r="B93" s="2" t="s">
        <v>101</v>
      </c>
      <c r="C93" s="17">
        <v>-195000</v>
      </c>
      <c r="D93" s="17">
        <v>-210000</v>
      </c>
      <c r="G93" s="47">
        <f t="shared" si="2"/>
        <v>-15000</v>
      </c>
    </row>
    <row r="94" spans="1:8" ht="15" customHeight="1" outlineLevel="4">
      <c r="A94" s="2" t="s">
        <v>68</v>
      </c>
      <c r="B94" s="2" t="s">
        <v>102</v>
      </c>
      <c r="C94" s="17">
        <v>-1270000</v>
      </c>
      <c r="D94" s="17">
        <v>-1290000</v>
      </c>
      <c r="G94" s="47">
        <f t="shared" si="2"/>
        <v>-20000</v>
      </c>
      <c r="H94">
        <f>SUBTOTAL(9,G64:G95)</f>
        <v>-624000</v>
      </c>
    </row>
    <row r="95" spans="1:7" ht="15" customHeight="1" outlineLevel="4">
      <c r="A95" s="2" t="s">
        <v>68</v>
      </c>
      <c r="B95" s="2" t="s">
        <v>103</v>
      </c>
      <c r="C95" s="17">
        <v>-1000</v>
      </c>
      <c r="D95" s="17">
        <v>-1000</v>
      </c>
      <c r="G95" s="47">
        <f t="shared" si="2"/>
        <v>0</v>
      </c>
    </row>
    <row r="96" spans="1:7" s="7" customFormat="1" ht="15" customHeight="1" outlineLevel="3">
      <c r="A96" s="9"/>
      <c r="B96" s="9"/>
      <c r="C96" s="19">
        <f>SUBTOTAL(9,C60:C95)</f>
        <v>-6889000</v>
      </c>
      <c r="D96" s="19">
        <f>SUBTOTAL(9,D60:D95)</f>
        <v>-7496000</v>
      </c>
      <c r="G96" s="19">
        <f>SUBTOTAL(9,G60:G95)</f>
        <v>-607000</v>
      </c>
    </row>
    <row r="97" spans="1:7" ht="15" customHeight="1" outlineLevel="4">
      <c r="A97" s="2" t="s">
        <v>68</v>
      </c>
      <c r="B97" s="2" t="s">
        <v>104</v>
      </c>
      <c r="C97" s="17">
        <v>-50000</v>
      </c>
      <c r="D97" s="17">
        <v>-52000</v>
      </c>
      <c r="G97" s="47">
        <f aca="true" t="shared" si="3" ref="G97:G129">D97-C97</f>
        <v>-2000</v>
      </c>
    </row>
    <row r="98" spans="1:7" ht="15" customHeight="1" outlineLevel="4">
      <c r="A98" s="2" t="s">
        <v>68</v>
      </c>
      <c r="B98" s="2" t="s">
        <v>105</v>
      </c>
      <c r="C98" s="17">
        <v>-10000</v>
      </c>
      <c r="D98" s="17">
        <v>-10000</v>
      </c>
      <c r="G98" s="47">
        <f t="shared" si="3"/>
        <v>0</v>
      </c>
    </row>
    <row r="99" spans="1:7" ht="15" customHeight="1" outlineLevel="4">
      <c r="A99" s="2" t="s">
        <v>68</v>
      </c>
      <c r="B99" s="2" t="s">
        <v>106</v>
      </c>
      <c r="C99" s="17">
        <v>0</v>
      </c>
      <c r="D99" s="17">
        <v>0</v>
      </c>
      <c r="G99" s="47">
        <f t="shared" si="3"/>
        <v>0</v>
      </c>
    </row>
    <row r="100" spans="1:7" ht="15" customHeight="1" outlineLevel="4">
      <c r="A100" s="2" t="s">
        <v>68</v>
      </c>
      <c r="B100" s="2" t="s">
        <v>107</v>
      </c>
      <c r="C100" s="17">
        <v>-12000</v>
      </c>
      <c r="D100" s="17">
        <v>-12000</v>
      </c>
      <c r="G100" s="47">
        <f t="shared" si="3"/>
        <v>0</v>
      </c>
    </row>
    <row r="101" spans="1:7" ht="15" customHeight="1" outlineLevel="4">
      <c r="A101" s="2" t="s">
        <v>68</v>
      </c>
      <c r="B101" s="2" t="s">
        <v>108</v>
      </c>
      <c r="C101" s="17">
        <v>-60000</v>
      </c>
      <c r="D101" s="17">
        <v>-60000</v>
      </c>
      <c r="G101" s="47">
        <f t="shared" si="3"/>
        <v>0</v>
      </c>
    </row>
    <row r="102" spans="1:7" ht="15" customHeight="1" outlineLevel="4">
      <c r="A102" s="2" t="s">
        <v>68</v>
      </c>
      <c r="B102" s="2" t="s">
        <v>109</v>
      </c>
      <c r="C102" s="17">
        <v>-250000</v>
      </c>
      <c r="D102" s="17">
        <v>-250000</v>
      </c>
      <c r="G102" s="47">
        <f t="shared" si="3"/>
        <v>0</v>
      </c>
    </row>
    <row r="103" spans="1:7" ht="15" customHeight="1" outlineLevel="4">
      <c r="A103" s="2" t="s">
        <v>68</v>
      </c>
      <c r="B103" s="2" t="s">
        <v>110</v>
      </c>
      <c r="C103" s="17">
        <v>-40000</v>
      </c>
      <c r="D103" s="17">
        <v>-40000</v>
      </c>
      <c r="G103" s="47">
        <f t="shared" si="3"/>
        <v>0</v>
      </c>
    </row>
    <row r="104" spans="1:7" ht="15" customHeight="1" outlineLevel="4">
      <c r="A104" s="2" t="s">
        <v>68</v>
      </c>
      <c r="B104" s="2" t="s">
        <v>111</v>
      </c>
      <c r="C104" s="17">
        <v>-8000</v>
      </c>
      <c r="D104" s="17">
        <v>-8000</v>
      </c>
      <c r="G104" s="47">
        <f t="shared" si="3"/>
        <v>0</v>
      </c>
    </row>
    <row r="105" spans="1:7" ht="15" customHeight="1" outlineLevel="4">
      <c r="A105" s="2" t="s">
        <v>68</v>
      </c>
      <c r="B105" s="2" t="s">
        <v>112</v>
      </c>
      <c r="C105" s="17">
        <v>-139000</v>
      </c>
      <c r="D105" s="17">
        <v>-140000</v>
      </c>
      <c r="G105" s="47">
        <f t="shared" si="3"/>
        <v>-1000</v>
      </c>
    </row>
    <row r="106" spans="1:7" ht="15" customHeight="1" outlineLevel="4">
      <c r="A106" s="2" t="s">
        <v>68</v>
      </c>
      <c r="B106" s="2" t="s">
        <v>113</v>
      </c>
      <c r="C106" s="17">
        <v>-75000</v>
      </c>
      <c r="D106" s="17">
        <v>-75000</v>
      </c>
      <c r="G106" s="47">
        <f t="shared" si="3"/>
        <v>0</v>
      </c>
    </row>
    <row r="107" spans="1:7" ht="15" customHeight="1" outlineLevel="4">
      <c r="A107" s="2" t="s">
        <v>68</v>
      </c>
      <c r="B107" s="2" t="s">
        <v>114</v>
      </c>
      <c r="C107" s="17">
        <v>-65000</v>
      </c>
      <c r="D107" s="17">
        <v>-65000</v>
      </c>
      <c r="G107" s="47">
        <f t="shared" si="3"/>
        <v>0</v>
      </c>
    </row>
    <row r="108" spans="1:7" ht="15" customHeight="1" outlineLevel="4">
      <c r="A108" s="2" t="s">
        <v>68</v>
      </c>
      <c r="B108" s="26" t="s">
        <v>139</v>
      </c>
      <c r="C108" s="17">
        <v>0</v>
      </c>
      <c r="D108" s="17">
        <v>-200000</v>
      </c>
      <c r="G108" s="47">
        <f t="shared" si="3"/>
        <v>-200000</v>
      </c>
    </row>
    <row r="109" spans="1:7" ht="15" customHeight="1" outlineLevel="4">
      <c r="A109" s="2" t="s">
        <v>68</v>
      </c>
      <c r="B109" s="2" t="s">
        <v>115</v>
      </c>
      <c r="C109" s="17">
        <v>-70000</v>
      </c>
      <c r="D109" s="17">
        <v>-70000</v>
      </c>
      <c r="G109" s="47">
        <f t="shared" si="3"/>
        <v>0</v>
      </c>
    </row>
    <row r="110" spans="1:7" ht="15" customHeight="1" outlineLevel="4">
      <c r="A110" s="2" t="s">
        <v>68</v>
      </c>
      <c r="B110" s="2" t="s">
        <v>116</v>
      </c>
      <c r="C110" s="17">
        <v>-20000</v>
      </c>
      <c r="D110" s="17"/>
      <c r="G110" s="47">
        <f t="shared" si="3"/>
        <v>20000</v>
      </c>
    </row>
    <row r="111" spans="1:7" ht="15" customHeight="1" outlineLevel="4">
      <c r="A111" s="2" t="s">
        <v>68</v>
      </c>
      <c r="B111" s="2" t="s">
        <v>117</v>
      </c>
      <c r="C111" s="17">
        <v>-25000</v>
      </c>
      <c r="D111" s="17">
        <v>0</v>
      </c>
      <c r="G111" s="47">
        <f t="shared" si="3"/>
        <v>25000</v>
      </c>
    </row>
    <row r="112" spans="1:7" ht="15" customHeight="1" outlineLevel="4">
      <c r="A112" s="2" t="s">
        <v>68</v>
      </c>
      <c r="B112" s="2" t="s">
        <v>118</v>
      </c>
      <c r="C112" s="17">
        <v>-20000</v>
      </c>
      <c r="D112" s="17">
        <v>-20000</v>
      </c>
      <c r="G112" s="47">
        <f t="shared" si="3"/>
        <v>0</v>
      </c>
    </row>
    <row r="113" spans="1:7" ht="15" customHeight="1" outlineLevel="4">
      <c r="A113" s="2" t="s">
        <v>68</v>
      </c>
      <c r="B113" s="2" t="s">
        <v>119</v>
      </c>
      <c r="C113" s="17">
        <v>-20000</v>
      </c>
      <c r="D113" s="17">
        <v>-20000</v>
      </c>
      <c r="G113" s="47">
        <f t="shared" si="3"/>
        <v>0</v>
      </c>
    </row>
    <row r="114" spans="1:7" ht="15" customHeight="1" outlineLevel="4">
      <c r="A114" s="2" t="s">
        <v>68</v>
      </c>
      <c r="B114" s="2" t="s">
        <v>120</v>
      </c>
      <c r="C114" s="17">
        <v>-60000</v>
      </c>
      <c r="D114" s="17">
        <v>-60000</v>
      </c>
      <c r="G114" s="47">
        <f t="shared" si="3"/>
        <v>0</v>
      </c>
    </row>
    <row r="115" spans="1:7" ht="15" customHeight="1" outlineLevel="4">
      <c r="A115" s="2" t="s">
        <v>68</v>
      </c>
      <c r="B115" s="2" t="s">
        <v>121</v>
      </c>
      <c r="C115" s="17">
        <v>-190000</v>
      </c>
      <c r="D115" s="17">
        <v>-190000</v>
      </c>
      <c r="G115" s="47">
        <f t="shared" si="3"/>
        <v>0</v>
      </c>
    </row>
    <row r="116" spans="1:7" ht="15" customHeight="1" outlineLevel="4">
      <c r="A116" s="2" t="s">
        <v>68</v>
      </c>
      <c r="B116" s="25" t="s">
        <v>251</v>
      </c>
      <c r="C116" s="17">
        <v>0</v>
      </c>
      <c r="D116" s="17">
        <v>-30000</v>
      </c>
      <c r="G116" s="47">
        <f t="shared" si="3"/>
        <v>-30000</v>
      </c>
    </row>
    <row r="117" spans="1:7" ht="15" customHeight="1" outlineLevel="4">
      <c r="A117" s="2" t="s">
        <v>68</v>
      </c>
      <c r="B117" s="2" t="s">
        <v>122</v>
      </c>
      <c r="C117" s="17">
        <v>-75000</v>
      </c>
      <c r="D117" s="17">
        <v>-70000</v>
      </c>
      <c r="G117" s="47">
        <f t="shared" si="3"/>
        <v>5000</v>
      </c>
    </row>
    <row r="118" spans="1:7" ht="15" customHeight="1" outlineLevel="4">
      <c r="A118" s="2" t="s">
        <v>68</v>
      </c>
      <c r="B118" s="2" t="s">
        <v>123</v>
      </c>
      <c r="C118" s="17">
        <v>-200000</v>
      </c>
      <c r="D118" s="17">
        <v>-200000</v>
      </c>
      <c r="G118" s="47">
        <f t="shared" si="3"/>
        <v>0</v>
      </c>
    </row>
    <row r="119" spans="1:7" ht="15" customHeight="1" outlineLevel="4">
      <c r="A119" s="2" t="s">
        <v>68</v>
      </c>
      <c r="B119" s="2" t="s">
        <v>124</v>
      </c>
      <c r="C119" s="17">
        <v>-6000</v>
      </c>
      <c r="D119" s="17">
        <v>-6000</v>
      </c>
      <c r="G119" s="47">
        <f t="shared" si="3"/>
        <v>0</v>
      </c>
    </row>
    <row r="120" spans="1:7" ht="15" customHeight="1" outlineLevel="4">
      <c r="A120" s="2" t="s">
        <v>68</v>
      </c>
      <c r="B120" s="2" t="s">
        <v>125</v>
      </c>
      <c r="C120" s="17">
        <v>-515000</v>
      </c>
      <c r="D120" s="17">
        <v>-515000</v>
      </c>
      <c r="G120" s="47">
        <f t="shared" si="3"/>
        <v>0</v>
      </c>
    </row>
    <row r="121" spans="1:7" ht="15" customHeight="1" outlineLevel="4">
      <c r="A121" s="2" t="s">
        <v>68</v>
      </c>
      <c r="B121" s="2" t="s">
        <v>126</v>
      </c>
      <c r="C121" s="17">
        <v>-120000</v>
      </c>
      <c r="D121" s="17">
        <v>-150000</v>
      </c>
      <c r="G121" s="47">
        <f t="shared" si="3"/>
        <v>-30000</v>
      </c>
    </row>
    <row r="122" spans="1:7" ht="15" customHeight="1" outlineLevel="4">
      <c r="A122" s="2" t="s">
        <v>68</v>
      </c>
      <c r="B122" s="2" t="s">
        <v>127</v>
      </c>
      <c r="C122" s="17">
        <v>-2372000</v>
      </c>
      <c r="D122" s="17">
        <v>-2362000</v>
      </c>
      <c r="G122" s="47">
        <f t="shared" si="3"/>
        <v>10000</v>
      </c>
    </row>
    <row r="123" spans="1:7" ht="15" customHeight="1" outlineLevel="4">
      <c r="A123" s="2" t="s">
        <v>68</v>
      </c>
      <c r="B123" s="2" t="s">
        <v>128</v>
      </c>
      <c r="C123" s="17">
        <v>-115000</v>
      </c>
      <c r="D123" s="17">
        <v>-85000</v>
      </c>
      <c r="G123" s="47">
        <f t="shared" si="3"/>
        <v>30000</v>
      </c>
    </row>
    <row r="124" spans="1:7" ht="15" customHeight="1" outlineLevel="4">
      <c r="A124" s="2" t="s">
        <v>68</v>
      </c>
      <c r="B124" s="2" t="s">
        <v>129</v>
      </c>
      <c r="C124" s="17">
        <v>-128000</v>
      </c>
      <c r="D124" s="17">
        <v>-161000</v>
      </c>
      <c r="G124" s="47">
        <f t="shared" si="3"/>
        <v>-33000</v>
      </c>
    </row>
    <row r="125" spans="1:7" ht="15" customHeight="1" outlineLevel="4">
      <c r="A125" s="2" t="s">
        <v>68</v>
      </c>
      <c r="B125" s="2" t="s">
        <v>130</v>
      </c>
      <c r="C125" s="17">
        <v>-880000</v>
      </c>
      <c r="D125" s="17">
        <v>-1170000</v>
      </c>
      <c r="G125" s="47">
        <f t="shared" si="3"/>
        <v>-290000</v>
      </c>
    </row>
    <row r="126" spans="1:7" ht="15" customHeight="1" outlineLevel="4">
      <c r="A126" s="2" t="s">
        <v>68</v>
      </c>
      <c r="B126" s="2" t="s">
        <v>131</v>
      </c>
      <c r="C126" s="17">
        <v>0</v>
      </c>
      <c r="D126" s="17">
        <v>0</v>
      </c>
      <c r="G126" s="47">
        <f t="shared" si="3"/>
        <v>0</v>
      </c>
    </row>
    <row r="127" spans="1:7" ht="15" customHeight="1" outlineLevel="4">
      <c r="A127" s="2" t="s">
        <v>68</v>
      </c>
      <c r="B127" s="2" t="s">
        <v>132</v>
      </c>
      <c r="C127" s="17">
        <v>-81000</v>
      </c>
      <c r="D127" s="17">
        <v>0</v>
      </c>
      <c r="G127" s="47">
        <f t="shared" si="3"/>
        <v>81000</v>
      </c>
    </row>
    <row r="128" spans="1:7" ht="33.75" customHeight="1" outlineLevel="4">
      <c r="A128" s="2" t="s">
        <v>68</v>
      </c>
      <c r="B128" s="2" t="s">
        <v>133</v>
      </c>
      <c r="C128" s="17">
        <v>-60000</v>
      </c>
      <c r="D128" s="17">
        <v>-74000</v>
      </c>
      <c r="G128" s="47">
        <f t="shared" si="3"/>
        <v>-14000</v>
      </c>
    </row>
    <row r="129" spans="1:7" ht="15" customHeight="1" outlineLevel="4">
      <c r="A129" s="2" t="s">
        <v>68</v>
      </c>
      <c r="B129" s="2" t="s">
        <v>79</v>
      </c>
      <c r="C129" s="17">
        <v>-43000</v>
      </c>
      <c r="D129" s="17">
        <v>-125000</v>
      </c>
      <c r="G129" s="47">
        <f t="shared" si="3"/>
        <v>-82000</v>
      </c>
    </row>
    <row r="130" spans="1:7" ht="15" customHeight="1" outlineLevel="4">
      <c r="A130" s="2" t="s">
        <v>68</v>
      </c>
      <c r="B130" s="2" t="s">
        <v>295</v>
      </c>
      <c r="C130" s="17"/>
      <c r="D130" s="17">
        <v>-30000</v>
      </c>
      <c r="G130" s="47"/>
    </row>
    <row r="131" spans="1:7" ht="15" customHeight="1" outlineLevel="4">
      <c r="A131" s="2" t="s">
        <v>68</v>
      </c>
      <c r="B131" s="2" t="s">
        <v>297</v>
      </c>
      <c r="C131" s="17">
        <v>-9000</v>
      </c>
      <c r="D131" s="17">
        <v>-16000</v>
      </c>
      <c r="G131" s="47">
        <f aca="true" t="shared" si="4" ref="G131:G162">D131-C131</f>
        <v>-7000</v>
      </c>
    </row>
    <row r="132" spans="1:7" ht="15" customHeight="1" outlineLevel="4">
      <c r="A132" s="2" t="s">
        <v>68</v>
      </c>
      <c r="B132" s="2" t="s">
        <v>134</v>
      </c>
      <c r="C132" s="17">
        <v>-96000</v>
      </c>
      <c r="D132" s="17">
        <v>-97000</v>
      </c>
      <c r="G132" s="47">
        <f t="shared" si="4"/>
        <v>-1000</v>
      </c>
    </row>
    <row r="133" spans="1:7" ht="15" customHeight="1" outlineLevel="4">
      <c r="A133" s="2" t="s">
        <v>68</v>
      </c>
      <c r="B133" s="2" t="s">
        <v>135</v>
      </c>
      <c r="C133" s="17">
        <v>-10000</v>
      </c>
      <c r="D133" s="17">
        <v>-10000</v>
      </c>
      <c r="G133" s="47">
        <f t="shared" si="4"/>
        <v>0</v>
      </c>
    </row>
    <row r="134" spans="1:7" ht="15" customHeight="1" outlineLevel="4">
      <c r="A134" s="2" t="s">
        <v>68</v>
      </c>
      <c r="B134" s="2" t="s">
        <v>136</v>
      </c>
      <c r="C134" s="17">
        <v>-697000</v>
      </c>
      <c r="D134" s="17">
        <v>-599000</v>
      </c>
      <c r="G134" s="47">
        <f t="shared" si="4"/>
        <v>98000</v>
      </c>
    </row>
    <row r="135" spans="1:7" ht="15" customHeight="1" outlineLevel="4">
      <c r="A135" s="2" t="s">
        <v>68</v>
      </c>
      <c r="B135" s="2" t="s">
        <v>137</v>
      </c>
      <c r="C135" s="17">
        <v>-1000000</v>
      </c>
      <c r="D135" s="17">
        <v>-800000</v>
      </c>
      <c r="G135" s="47">
        <f t="shared" si="4"/>
        <v>200000</v>
      </c>
    </row>
    <row r="136" spans="1:7" ht="15" customHeight="1" outlineLevel="4">
      <c r="A136" s="2" t="s">
        <v>68</v>
      </c>
      <c r="B136" s="2" t="s">
        <v>138</v>
      </c>
      <c r="C136" s="17">
        <v>-65000</v>
      </c>
      <c r="D136" s="17">
        <v>-70000</v>
      </c>
      <c r="G136" s="47">
        <f t="shared" si="4"/>
        <v>-5000</v>
      </c>
    </row>
    <row r="137" spans="1:7" ht="15" customHeight="1" outlineLevel="4">
      <c r="A137" s="2" t="s">
        <v>68</v>
      </c>
      <c r="B137" s="2" t="s">
        <v>263</v>
      </c>
      <c r="C137" s="17">
        <v>0</v>
      </c>
      <c r="D137" s="17">
        <v>-500000</v>
      </c>
      <c r="G137" s="47">
        <f t="shared" si="4"/>
        <v>-500000</v>
      </c>
    </row>
    <row r="138" spans="1:7" ht="15" customHeight="1" outlineLevel="4">
      <c r="A138" s="2" t="s">
        <v>68</v>
      </c>
      <c r="B138" s="2" t="s">
        <v>140</v>
      </c>
      <c r="C138" s="17">
        <v>-600000</v>
      </c>
      <c r="D138" s="17">
        <v>-600000</v>
      </c>
      <c r="G138" s="47">
        <f t="shared" si="4"/>
        <v>0</v>
      </c>
    </row>
    <row r="139" spans="1:7" ht="15" customHeight="1" outlineLevel="4">
      <c r="A139" s="2" t="s">
        <v>68</v>
      </c>
      <c r="B139" s="2" t="s">
        <v>141</v>
      </c>
      <c r="C139" s="17">
        <v>-80000</v>
      </c>
      <c r="D139" s="17">
        <v>-80000</v>
      </c>
      <c r="G139" s="47">
        <f t="shared" si="4"/>
        <v>0</v>
      </c>
    </row>
    <row r="140" spans="1:7" ht="15" customHeight="1" outlineLevel="4">
      <c r="A140" s="2" t="s">
        <v>68</v>
      </c>
      <c r="B140" s="2" t="s">
        <v>142</v>
      </c>
      <c r="C140" s="17">
        <v>-354000</v>
      </c>
      <c r="D140" s="17">
        <v>-324000</v>
      </c>
      <c r="G140" s="47">
        <f t="shared" si="4"/>
        <v>30000</v>
      </c>
    </row>
    <row r="141" spans="1:7" ht="15" customHeight="1" outlineLevel="4">
      <c r="A141" s="2" t="s">
        <v>68</v>
      </c>
      <c r="B141" s="2" t="s">
        <v>143</v>
      </c>
      <c r="C141" s="17">
        <v>0</v>
      </c>
      <c r="D141" s="17">
        <v>0</v>
      </c>
      <c r="G141" s="47">
        <f t="shared" si="4"/>
        <v>0</v>
      </c>
    </row>
    <row r="142" spans="1:7" ht="15" customHeight="1" outlineLevel="4">
      <c r="A142" s="2" t="s">
        <v>68</v>
      </c>
      <c r="B142" s="2" t="s">
        <v>144</v>
      </c>
      <c r="C142" s="17">
        <v>-335000</v>
      </c>
      <c r="D142" s="17">
        <v>-185000</v>
      </c>
      <c r="G142" s="47">
        <f t="shared" si="4"/>
        <v>150000</v>
      </c>
    </row>
    <row r="143" spans="1:7" ht="15" customHeight="1" outlineLevel="4">
      <c r="A143" s="2" t="s">
        <v>68</v>
      </c>
      <c r="B143" s="2" t="s">
        <v>145</v>
      </c>
      <c r="C143" s="17">
        <v>0</v>
      </c>
      <c r="D143" s="17">
        <v>0</v>
      </c>
      <c r="G143" s="47">
        <f t="shared" si="4"/>
        <v>0</v>
      </c>
    </row>
    <row r="144" spans="1:7" ht="15" customHeight="1" outlineLevel="4">
      <c r="A144" s="2" t="s">
        <v>68</v>
      </c>
      <c r="B144" s="2" t="s">
        <v>265</v>
      </c>
      <c r="C144" s="17">
        <v>-200000</v>
      </c>
      <c r="D144" s="17">
        <v>-200000</v>
      </c>
      <c r="G144" s="47">
        <f t="shared" si="4"/>
        <v>0</v>
      </c>
    </row>
    <row r="145" spans="1:7" ht="15" customHeight="1" outlineLevel="4">
      <c r="A145" s="2" t="s">
        <v>68</v>
      </c>
      <c r="B145" s="2" t="s">
        <v>146</v>
      </c>
      <c r="C145" s="17">
        <v>-50000</v>
      </c>
      <c r="D145" s="17">
        <v>-20000</v>
      </c>
      <c r="G145" s="47">
        <f t="shared" si="4"/>
        <v>30000</v>
      </c>
    </row>
    <row r="146" spans="1:7" ht="15" customHeight="1" outlineLevel="4">
      <c r="A146" s="2" t="s">
        <v>68</v>
      </c>
      <c r="B146" s="2" t="s">
        <v>147</v>
      </c>
      <c r="C146" s="17">
        <v>-130000</v>
      </c>
      <c r="D146" s="17">
        <v>-130000</v>
      </c>
      <c r="G146" s="47">
        <f t="shared" si="4"/>
        <v>0</v>
      </c>
    </row>
    <row r="147" spans="1:7" ht="15" customHeight="1" outlineLevel="4">
      <c r="A147" s="2" t="s">
        <v>68</v>
      </c>
      <c r="B147" s="2" t="s">
        <v>148</v>
      </c>
      <c r="C147" s="17">
        <v>-600000</v>
      </c>
      <c r="D147" s="17">
        <v>-500000</v>
      </c>
      <c r="G147" s="47">
        <f t="shared" si="4"/>
        <v>100000</v>
      </c>
    </row>
    <row r="148" spans="1:7" ht="15" customHeight="1" outlineLevel="4">
      <c r="A148" s="2" t="s">
        <v>68</v>
      </c>
      <c r="B148" s="2" t="s">
        <v>149</v>
      </c>
      <c r="C148" s="17">
        <v>-650000</v>
      </c>
      <c r="D148" s="17">
        <v>-450000</v>
      </c>
      <c r="G148" s="47">
        <f t="shared" si="4"/>
        <v>200000</v>
      </c>
    </row>
    <row r="149" spans="1:7" ht="15" customHeight="1" outlineLevel="4">
      <c r="A149" s="2" t="s">
        <v>68</v>
      </c>
      <c r="B149" s="2" t="s">
        <v>150</v>
      </c>
      <c r="C149" s="17">
        <v>-425000</v>
      </c>
      <c r="D149" s="17">
        <v>-435000</v>
      </c>
      <c r="G149" s="47">
        <f t="shared" si="4"/>
        <v>-10000</v>
      </c>
    </row>
    <row r="150" spans="1:7" ht="29.25" customHeight="1" outlineLevel="4">
      <c r="A150" s="2" t="s">
        <v>68</v>
      </c>
      <c r="B150" s="2" t="s">
        <v>151</v>
      </c>
      <c r="C150" s="17">
        <v>-800000</v>
      </c>
      <c r="D150" s="17">
        <v>-950000</v>
      </c>
      <c r="G150" s="47">
        <f t="shared" si="4"/>
        <v>-150000</v>
      </c>
    </row>
    <row r="151" spans="1:7" ht="15" customHeight="1" outlineLevel="4">
      <c r="A151" s="2" t="s">
        <v>68</v>
      </c>
      <c r="B151" s="2" t="s">
        <v>152</v>
      </c>
      <c r="C151" s="17">
        <v>-200000</v>
      </c>
      <c r="D151" s="17">
        <v>-200000</v>
      </c>
      <c r="G151" s="47">
        <f t="shared" si="4"/>
        <v>0</v>
      </c>
    </row>
    <row r="152" spans="1:7" ht="15" customHeight="1" outlineLevel="4">
      <c r="A152" s="2" t="s">
        <v>68</v>
      </c>
      <c r="B152" s="2" t="s">
        <v>153</v>
      </c>
      <c r="C152" s="17">
        <v>-120000</v>
      </c>
      <c r="D152" s="17">
        <v>-50000</v>
      </c>
      <c r="G152" s="47">
        <f t="shared" si="4"/>
        <v>70000</v>
      </c>
    </row>
    <row r="153" spans="1:7" ht="15" customHeight="1" outlineLevel="4">
      <c r="A153" s="2" t="s">
        <v>68</v>
      </c>
      <c r="B153" s="2" t="s">
        <v>267</v>
      </c>
      <c r="C153" s="17">
        <v>-390000</v>
      </c>
      <c r="D153" s="17">
        <v>-364500</v>
      </c>
      <c r="G153" s="47">
        <f t="shared" si="4"/>
        <v>25500</v>
      </c>
    </row>
    <row r="154" spans="1:7" ht="15" customHeight="1" outlineLevel="4">
      <c r="A154" s="2" t="s">
        <v>68</v>
      </c>
      <c r="B154" s="2" t="s">
        <v>154</v>
      </c>
      <c r="C154" s="17">
        <v>0</v>
      </c>
      <c r="D154" s="17"/>
      <c r="G154" s="47">
        <f t="shared" si="4"/>
        <v>0</v>
      </c>
    </row>
    <row r="155" spans="1:7" ht="15" customHeight="1" outlineLevel="4">
      <c r="A155" s="2" t="s">
        <v>68</v>
      </c>
      <c r="B155" s="2" t="s">
        <v>155</v>
      </c>
      <c r="C155" s="17">
        <v>0</v>
      </c>
      <c r="D155" s="17"/>
      <c r="G155" s="47">
        <f t="shared" si="4"/>
        <v>0</v>
      </c>
    </row>
    <row r="156" spans="1:7" ht="15" customHeight="1" outlineLevel="4">
      <c r="A156" s="2" t="s">
        <v>68</v>
      </c>
      <c r="B156" s="2" t="s">
        <v>156</v>
      </c>
      <c r="C156" s="17">
        <v>0</v>
      </c>
      <c r="D156" s="17">
        <v>-30000</v>
      </c>
      <c r="G156" s="47">
        <f t="shared" si="4"/>
        <v>-30000</v>
      </c>
    </row>
    <row r="157" spans="1:7" ht="15" customHeight="1" outlineLevel="4">
      <c r="A157" s="2" t="s">
        <v>68</v>
      </c>
      <c r="B157" s="2" t="s">
        <v>157</v>
      </c>
      <c r="C157" s="17">
        <v>-349000</v>
      </c>
      <c r="D157" s="17">
        <v>-540000</v>
      </c>
      <c r="G157" s="47">
        <f t="shared" si="4"/>
        <v>-191000</v>
      </c>
    </row>
    <row r="158" spans="1:7" ht="15" customHeight="1" outlineLevel="4">
      <c r="A158" s="2" t="s">
        <v>68</v>
      </c>
      <c r="B158" s="2" t="s">
        <v>158</v>
      </c>
      <c r="C158" s="17">
        <v>0</v>
      </c>
      <c r="D158" s="17">
        <v>0</v>
      </c>
      <c r="G158" s="47">
        <f t="shared" si="4"/>
        <v>0</v>
      </c>
    </row>
    <row r="159" spans="1:7" ht="15" customHeight="1" outlineLevel="4">
      <c r="A159" s="2" t="s">
        <v>68</v>
      </c>
      <c r="B159" s="2" t="s">
        <v>159</v>
      </c>
      <c r="C159" s="17">
        <v>-4000</v>
      </c>
      <c r="D159" s="17">
        <v>0</v>
      </c>
      <c r="G159" s="47">
        <f t="shared" si="4"/>
        <v>4000</v>
      </c>
    </row>
    <row r="160" spans="1:7" ht="15" customHeight="1" outlineLevel="4">
      <c r="A160" s="2" t="s">
        <v>68</v>
      </c>
      <c r="B160" s="2" t="s">
        <v>160</v>
      </c>
      <c r="C160" s="17">
        <v>-220000</v>
      </c>
      <c r="D160" s="17">
        <v>-210000</v>
      </c>
      <c r="G160" s="47">
        <f t="shared" si="4"/>
        <v>10000</v>
      </c>
    </row>
    <row r="161" spans="1:7" ht="34.5" customHeight="1" outlineLevel="4">
      <c r="A161" s="2" t="s">
        <v>68</v>
      </c>
      <c r="B161" s="2" t="s">
        <v>161</v>
      </c>
      <c r="C161" s="17">
        <v>-47000</v>
      </c>
      <c r="D161" s="17">
        <v>0</v>
      </c>
      <c r="G161" s="47">
        <f t="shared" si="4"/>
        <v>47000</v>
      </c>
    </row>
    <row r="162" spans="1:7" ht="15" customHeight="1" outlineLevel="4">
      <c r="A162" s="2" t="s">
        <v>68</v>
      </c>
      <c r="B162" s="2" t="s">
        <v>162</v>
      </c>
      <c r="C162" s="17">
        <v>-83000</v>
      </c>
      <c r="D162" s="17">
        <v>-131000</v>
      </c>
      <c r="G162" s="47">
        <f t="shared" si="4"/>
        <v>-48000</v>
      </c>
    </row>
    <row r="163" spans="1:7" ht="15" customHeight="1" outlineLevel="4">
      <c r="A163" s="2" t="s">
        <v>68</v>
      </c>
      <c r="B163" s="2" t="s">
        <v>270</v>
      </c>
      <c r="C163" s="17">
        <v>-320000</v>
      </c>
      <c r="D163" s="17">
        <v>-310000</v>
      </c>
      <c r="G163" s="47">
        <f aca="true" t="shared" si="5" ref="G163:G198">D163-C163</f>
        <v>10000</v>
      </c>
    </row>
    <row r="164" spans="1:7" ht="15" customHeight="1" outlineLevel="4">
      <c r="A164" s="2" t="s">
        <v>68</v>
      </c>
      <c r="B164" s="2" t="s">
        <v>271</v>
      </c>
      <c r="C164" s="17">
        <v>-185000</v>
      </c>
      <c r="D164" s="17">
        <v>-303000</v>
      </c>
      <c r="G164" s="47">
        <f t="shared" si="5"/>
        <v>-118000</v>
      </c>
    </row>
    <row r="165" spans="1:7" ht="15" customHeight="1" outlineLevel="4">
      <c r="A165" s="2" t="s">
        <v>68</v>
      </c>
      <c r="B165" s="2" t="s">
        <v>163</v>
      </c>
      <c r="C165" s="17">
        <v>-20000</v>
      </c>
      <c r="D165" s="17">
        <v>-21000</v>
      </c>
      <c r="G165" s="47">
        <f t="shared" si="5"/>
        <v>-1000</v>
      </c>
    </row>
    <row r="166" spans="1:7" ht="15" customHeight="1" outlineLevel="4">
      <c r="A166" s="2" t="s">
        <v>68</v>
      </c>
      <c r="B166" s="2" t="s">
        <v>164</v>
      </c>
      <c r="C166" s="17">
        <v>-739000</v>
      </c>
      <c r="D166" s="17">
        <v>-769500</v>
      </c>
      <c r="G166" s="47">
        <f t="shared" si="5"/>
        <v>-30500</v>
      </c>
    </row>
    <row r="167" spans="1:7" ht="15" customHeight="1" outlineLevel="4">
      <c r="A167" s="2" t="s">
        <v>68</v>
      </c>
      <c r="B167" s="2" t="s">
        <v>257</v>
      </c>
      <c r="C167" s="17"/>
      <c r="D167" s="17">
        <v>-48000</v>
      </c>
      <c r="G167" s="47">
        <f t="shared" si="5"/>
        <v>-48000</v>
      </c>
    </row>
    <row r="168" spans="1:7" ht="15" customHeight="1" outlineLevel="4">
      <c r="A168" s="2" t="s">
        <v>68</v>
      </c>
      <c r="B168" s="2" t="s">
        <v>165</v>
      </c>
      <c r="C168" s="17">
        <v>-30000</v>
      </c>
      <c r="D168" s="17">
        <v>0</v>
      </c>
      <c r="G168" s="47">
        <f t="shared" si="5"/>
        <v>30000</v>
      </c>
    </row>
    <row r="169" spans="1:7" ht="15" customHeight="1" outlineLevel="4">
      <c r="A169" s="2" t="s">
        <v>68</v>
      </c>
      <c r="B169" s="2" t="s">
        <v>269</v>
      </c>
      <c r="C169" s="17">
        <v>-1740000</v>
      </c>
      <c r="D169" s="17">
        <v>-2010000</v>
      </c>
      <c r="G169" s="47">
        <f t="shared" si="5"/>
        <v>-270000</v>
      </c>
    </row>
    <row r="170" spans="1:7" ht="15" customHeight="1" outlineLevel="4">
      <c r="A170" s="2" t="s">
        <v>68</v>
      </c>
      <c r="B170" s="2" t="s">
        <v>166</v>
      </c>
      <c r="C170" s="17">
        <v>-540000</v>
      </c>
      <c r="D170" s="17">
        <v>-540000</v>
      </c>
      <c r="G170" s="47">
        <f t="shared" si="5"/>
        <v>0</v>
      </c>
    </row>
    <row r="171" spans="1:7" ht="15" customHeight="1" outlineLevel="4">
      <c r="A171" s="2" t="s">
        <v>68</v>
      </c>
      <c r="B171" s="2" t="s">
        <v>167</v>
      </c>
      <c r="C171" s="17">
        <v>-350000</v>
      </c>
      <c r="D171" s="17">
        <v>-350000</v>
      </c>
      <c r="G171" s="47">
        <f t="shared" si="5"/>
        <v>0</v>
      </c>
    </row>
    <row r="172" spans="1:7" ht="39" customHeight="1" outlineLevel="4">
      <c r="A172" s="2" t="s">
        <v>68</v>
      </c>
      <c r="B172" s="2" t="s">
        <v>168</v>
      </c>
      <c r="C172" s="17">
        <v>-5000</v>
      </c>
      <c r="D172" s="17">
        <v>-10000</v>
      </c>
      <c r="G172" s="47">
        <f t="shared" si="5"/>
        <v>-5000</v>
      </c>
    </row>
    <row r="173" spans="1:7" ht="15" customHeight="1" outlineLevel="4">
      <c r="A173" s="2" t="s">
        <v>68</v>
      </c>
      <c r="B173" s="2" t="s">
        <v>169</v>
      </c>
      <c r="C173" s="17">
        <v>0</v>
      </c>
      <c r="D173" s="17">
        <v>0</v>
      </c>
      <c r="G173" s="47">
        <f t="shared" si="5"/>
        <v>0</v>
      </c>
    </row>
    <row r="174" spans="1:7" ht="15" customHeight="1" outlineLevel="4">
      <c r="A174" s="2" t="s">
        <v>68</v>
      </c>
      <c r="B174" s="2" t="s">
        <v>170</v>
      </c>
      <c r="C174" s="17">
        <v>-1000</v>
      </c>
      <c r="D174" s="17">
        <v>-2000</v>
      </c>
      <c r="G174" s="47">
        <f t="shared" si="5"/>
        <v>-1000</v>
      </c>
    </row>
    <row r="175" spans="1:7" ht="15" customHeight="1" outlineLevel="4">
      <c r="A175" s="2" t="s">
        <v>68</v>
      </c>
      <c r="B175" s="2" t="s">
        <v>171</v>
      </c>
      <c r="C175" s="17">
        <v>-43000</v>
      </c>
      <c r="D175" s="17">
        <v>-25000</v>
      </c>
      <c r="G175" s="47">
        <f t="shared" si="5"/>
        <v>18000</v>
      </c>
    </row>
    <row r="176" spans="1:7" ht="15" customHeight="1" outlineLevel="4">
      <c r="A176" s="2" t="s">
        <v>68</v>
      </c>
      <c r="B176" s="2" t="s">
        <v>172</v>
      </c>
      <c r="C176" s="17">
        <v>-485000</v>
      </c>
      <c r="D176" s="17">
        <v>-435000</v>
      </c>
      <c r="G176" s="47">
        <f t="shared" si="5"/>
        <v>50000</v>
      </c>
    </row>
    <row r="177" spans="1:7" ht="15" customHeight="1" outlineLevel="4">
      <c r="A177" s="2" t="s">
        <v>68</v>
      </c>
      <c r="B177" s="2" t="s">
        <v>173</v>
      </c>
      <c r="C177" s="17">
        <v>-26000</v>
      </c>
      <c r="D177" s="17">
        <v>-26000</v>
      </c>
      <c r="G177" s="47">
        <f t="shared" si="5"/>
        <v>0</v>
      </c>
    </row>
    <row r="178" spans="1:7" ht="15" customHeight="1" outlineLevel="4">
      <c r="A178" s="2" t="s">
        <v>68</v>
      </c>
      <c r="B178" s="2" t="s">
        <v>174</v>
      </c>
      <c r="C178" s="17">
        <v>-5000</v>
      </c>
      <c r="D178" s="17">
        <v>-5000</v>
      </c>
      <c r="G178" s="47">
        <f t="shared" si="5"/>
        <v>0</v>
      </c>
    </row>
    <row r="179" spans="1:7" ht="15" customHeight="1" outlineLevel="4">
      <c r="A179" s="2" t="s">
        <v>68</v>
      </c>
      <c r="B179" s="2" t="s">
        <v>175</v>
      </c>
      <c r="C179" s="17">
        <v>-230000</v>
      </c>
      <c r="D179" s="17">
        <v>-230000</v>
      </c>
      <c r="G179" s="47">
        <f t="shared" si="5"/>
        <v>0</v>
      </c>
    </row>
    <row r="180" spans="1:7" ht="15" customHeight="1" outlineLevel="4">
      <c r="A180" s="2" t="s">
        <v>68</v>
      </c>
      <c r="B180" s="2" t="s">
        <v>176</v>
      </c>
      <c r="C180" s="17">
        <v>-5000</v>
      </c>
      <c r="D180" s="17">
        <v>-5000</v>
      </c>
      <c r="G180" s="47">
        <f t="shared" si="5"/>
        <v>0</v>
      </c>
    </row>
    <row r="181" spans="1:7" ht="15" customHeight="1" outlineLevel="4">
      <c r="A181" s="2" t="s">
        <v>68</v>
      </c>
      <c r="B181" s="2" t="s">
        <v>177</v>
      </c>
      <c r="C181" s="17">
        <v>-1970000</v>
      </c>
      <c r="D181" s="17">
        <v>-1952000</v>
      </c>
      <c r="G181" s="47">
        <f t="shared" si="5"/>
        <v>18000</v>
      </c>
    </row>
    <row r="182" spans="1:7" ht="15" customHeight="1" outlineLevel="4">
      <c r="A182" s="2" t="s">
        <v>68</v>
      </c>
      <c r="B182" s="2" t="s">
        <v>178</v>
      </c>
      <c r="C182" s="17">
        <v>0</v>
      </c>
      <c r="D182" s="17">
        <v>0</v>
      </c>
      <c r="G182" s="47">
        <f t="shared" si="5"/>
        <v>0</v>
      </c>
    </row>
    <row r="183" spans="1:7" ht="15" customHeight="1" outlineLevel="4">
      <c r="A183" s="2" t="s">
        <v>68</v>
      </c>
      <c r="B183" s="2" t="s">
        <v>179</v>
      </c>
      <c r="C183" s="17">
        <v>0</v>
      </c>
      <c r="D183" s="17">
        <v>0</v>
      </c>
      <c r="G183" s="47">
        <f t="shared" si="5"/>
        <v>0</v>
      </c>
    </row>
    <row r="184" spans="1:7" ht="15" customHeight="1" outlineLevel="4">
      <c r="A184" s="2" t="s">
        <v>68</v>
      </c>
      <c r="B184" s="2" t="s">
        <v>180</v>
      </c>
      <c r="C184" s="17">
        <v>0</v>
      </c>
      <c r="D184" s="17">
        <v>0</v>
      </c>
      <c r="G184" s="47">
        <f t="shared" si="5"/>
        <v>0</v>
      </c>
    </row>
    <row r="185" spans="1:7" ht="15" customHeight="1" outlineLevel="4">
      <c r="A185" s="2" t="s">
        <v>68</v>
      </c>
      <c r="B185" s="2" t="s">
        <v>181</v>
      </c>
      <c r="C185" s="17">
        <v>-380000</v>
      </c>
      <c r="D185" s="17">
        <v>-380000</v>
      </c>
      <c r="G185" s="47">
        <f t="shared" si="5"/>
        <v>0</v>
      </c>
    </row>
    <row r="186" spans="1:7" ht="15" customHeight="1" outlineLevel="4">
      <c r="A186" s="2" t="s">
        <v>68</v>
      </c>
      <c r="B186" s="2" t="s">
        <v>182</v>
      </c>
      <c r="C186" s="17">
        <v>-130000</v>
      </c>
      <c r="D186" s="17">
        <v>-140000</v>
      </c>
      <c r="G186" s="47">
        <f t="shared" si="5"/>
        <v>-10000</v>
      </c>
    </row>
    <row r="187" spans="1:7" ht="15" customHeight="1" outlineLevel="4">
      <c r="A187" s="2" t="s">
        <v>68</v>
      </c>
      <c r="B187" s="26" t="s">
        <v>254</v>
      </c>
      <c r="C187" s="17">
        <v>0</v>
      </c>
      <c r="D187" s="17">
        <v>-515000</v>
      </c>
      <c r="G187" s="47">
        <f t="shared" si="5"/>
        <v>-515000</v>
      </c>
    </row>
    <row r="188" spans="1:7" ht="15" customHeight="1" outlineLevel="4">
      <c r="A188" s="2" t="s">
        <v>68</v>
      </c>
      <c r="B188" s="2" t="s">
        <v>183</v>
      </c>
      <c r="C188" s="17">
        <v>-75000</v>
      </c>
      <c r="D188" s="17">
        <v>-101000</v>
      </c>
      <c r="G188" s="47">
        <f t="shared" si="5"/>
        <v>-26000</v>
      </c>
    </row>
    <row r="189" spans="1:7" ht="15" customHeight="1" outlineLevel="4">
      <c r="A189" s="2" t="s">
        <v>68</v>
      </c>
      <c r="B189" s="2" t="s">
        <v>184</v>
      </c>
      <c r="C189" s="17">
        <v>-170000</v>
      </c>
      <c r="D189" s="17">
        <v>-166000</v>
      </c>
      <c r="G189" s="47">
        <f t="shared" si="5"/>
        <v>4000</v>
      </c>
    </row>
    <row r="190" spans="1:7" ht="15" customHeight="1" outlineLevel="4">
      <c r="A190" s="2" t="s">
        <v>68</v>
      </c>
      <c r="B190" s="2" t="s">
        <v>185</v>
      </c>
      <c r="C190" s="17">
        <v>-60000</v>
      </c>
      <c r="D190" s="17">
        <v>-60000</v>
      </c>
      <c r="G190" s="47">
        <f t="shared" si="5"/>
        <v>0</v>
      </c>
    </row>
    <row r="191" spans="1:7" ht="15" customHeight="1" outlineLevel="4">
      <c r="A191" s="2" t="s">
        <v>68</v>
      </c>
      <c r="B191" s="2" t="s">
        <v>186</v>
      </c>
      <c r="C191" s="17">
        <v>-30000</v>
      </c>
      <c r="D191" s="17">
        <v>-30000</v>
      </c>
      <c r="G191" s="47">
        <f t="shared" si="5"/>
        <v>0</v>
      </c>
    </row>
    <row r="192" spans="1:7" ht="15" customHeight="1" outlineLevel="4">
      <c r="A192" s="2" t="s">
        <v>68</v>
      </c>
      <c r="B192" s="2" t="s">
        <v>187</v>
      </c>
      <c r="C192" s="17">
        <v>-780000</v>
      </c>
      <c r="D192" s="17">
        <f>-820000-60000+120000</f>
        <v>-760000</v>
      </c>
      <c r="G192" s="47">
        <f t="shared" si="5"/>
        <v>20000</v>
      </c>
    </row>
    <row r="193" spans="1:7" ht="15" customHeight="1" outlineLevel="4">
      <c r="A193" s="2" t="s">
        <v>68</v>
      </c>
      <c r="B193" s="2" t="s">
        <v>188</v>
      </c>
      <c r="C193" s="17">
        <v>-34000</v>
      </c>
      <c r="D193" s="17">
        <v>-34000</v>
      </c>
      <c r="G193" s="47">
        <f t="shared" si="5"/>
        <v>0</v>
      </c>
    </row>
    <row r="194" spans="1:7" ht="15" customHeight="1" outlineLevel="4">
      <c r="A194" s="2" t="s">
        <v>68</v>
      </c>
      <c r="B194" s="2" t="s">
        <v>189</v>
      </c>
      <c r="C194" s="17">
        <v>-5000</v>
      </c>
      <c r="D194" s="17">
        <v>-30000</v>
      </c>
      <c r="G194" s="47">
        <f t="shared" si="5"/>
        <v>-25000</v>
      </c>
    </row>
    <row r="195" spans="1:7" ht="15" customHeight="1" outlineLevel="4">
      <c r="A195" s="2" t="s">
        <v>68</v>
      </c>
      <c r="B195" s="2" t="s">
        <v>299</v>
      </c>
      <c r="C195" s="17">
        <v>-140000</v>
      </c>
      <c r="D195" s="17">
        <f>-140000-120000</f>
        <v>-260000</v>
      </c>
      <c r="G195" s="47">
        <f t="shared" si="5"/>
        <v>-120000</v>
      </c>
    </row>
    <row r="196" spans="1:7" ht="15" customHeight="1" outlineLevel="4">
      <c r="A196" s="2" t="s">
        <v>68</v>
      </c>
      <c r="B196" s="2" t="s">
        <v>191</v>
      </c>
      <c r="C196" s="17">
        <v>-4000</v>
      </c>
      <c r="D196" s="17">
        <v>-4000</v>
      </c>
      <c r="G196" s="47">
        <f t="shared" si="5"/>
        <v>0</v>
      </c>
    </row>
    <row r="197" spans="1:7" ht="15" customHeight="1" outlineLevel="4">
      <c r="A197" s="2" t="s">
        <v>68</v>
      </c>
      <c r="B197" s="2" t="s">
        <v>192</v>
      </c>
      <c r="C197" s="17">
        <v>-544000</v>
      </c>
      <c r="D197" s="17">
        <v>-544000</v>
      </c>
      <c r="G197" s="47">
        <f t="shared" si="5"/>
        <v>0</v>
      </c>
    </row>
    <row r="198" spans="1:7" ht="15" customHeight="1" outlineLevel="4">
      <c r="A198" s="2" t="s">
        <v>68</v>
      </c>
      <c r="B198" s="2" t="s">
        <v>193</v>
      </c>
      <c r="C198" s="17">
        <v>-30000</v>
      </c>
      <c r="D198" s="17">
        <v>-30000</v>
      </c>
      <c r="G198" s="47">
        <f t="shared" si="5"/>
        <v>0</v>
      </c>
    </row>
    <row r="199" spans="1:7" s="7" customFormat="1" ht="15" customHeight="1" outlineLevel="3">
      <c r="A199" s="9"/>
      <c r="B199" s="9"/>
      <c r="C199" s="19">
        <f>SUBTOTAL(9,C97:C198)</f>
        <v>-22299000</v>
      </c>
      <c r="D199" s="19">
        <f>SUBTOTAL(9,D97:D198)</f>
        <v>-23837000</v>
      </c>
      <c r="G199" s="19">
        <f>SUBTOTAL(9,G97:G198)</f>
        <v>-1508000</v>
      </c>
    </row>
    <row r="200" spans="1:7" s="7" customFormat="1" ht="15" customHeight="1" outlineLevel="2">
      <c r="A200" s="9"/>
      <c r="B200" s="9"/>
      <c r="C200" s="19">
        <f>SUBTOTAL(9,C60:C198)</f>
        <v>-29188000</v>
      </c>
      <c r="D200" s="19">
        <f>SUBTOTAL(9,D60:D198)</f>
        <v>-31333000</v>
      </c>
      <c r="G200" s="19">
        <f>SUBTOTAL(9,G60:G198)</f>
        <v>-2115000</v>
      </c>
    </row>
    <row r="201" spans="1:7" ht="15" customHeight="1" outlineLevel="4">
      <c r="A201" s="2" t="s">
        <v>68</v>
      </c>
      <c r="B201" s="2" t="s">
        <v>196</v>
      </c>
      <c r="C201" s="17">
        <v>-45000</v>
      </c>
      <c r="D201" s="17">
        <v>-75000</v>
      </c>
      <c r="G201" s="47">
        <f>D201-C201</f>
        <v>-30000</v>
      </c>
    </row>
    <row r="202" spans="1:7" ht="15" customHeight="1" outlineLevel="4">
      <c r="A202" s="2" t="s">
        <v>68</v>
      </c>
      <c r="B202" s="2" t="s">
        <v>197</v>
      </c>
      <c r="C202" s="17">
        <v>-280000</v>
      </c>
      <c r="D202" s="17">
        <v>-276000</v>
      </c>
      <c r="G202" s="47">
        <f>D202-C202</f>
        <v>4000</v>
      </c>
    </row>
    <row r="203" spans="1:7" s="7" customFormat="1" ht="15" customHeight="1" outlineLevel="3">
      <c r="A203" s="9"/>
      <c r="B203" s="9"/>
      <c r="C203" s="19">
        <f>SUBTOTAL(9,C201:C202)</f>
        <v>-325000</v>
      </c>
      <c r="D203" s="19">
        <f>SUBTOTAL(9,D201:D202)</f>
        <v>-351000</v>
      </c>
      <c r="G203" s="19">
        <f>SUBTOTAL(9,G201:G202)</f>
        <v>-26000</v>
      </c>
    </row>
    <row r="204" spans="1:7" ht="15" customHeight="1" outlineLevel="4">
      <c r="A204" s="2" t="s">
        <v>68</v>
      </c>
      <c r="B204" s="2" t="s">
        <v>198</v>
      </c>
      <c r="C204" s="17">
        <v>-308000</v>
      </c>
      <c r="D204" s="17">
        <v>-53000</v>
      </c>
      <c r="G204" s="47">
        <f aca="true" t="shared" si="6" ref="G204:G218">D204-C204</f>
        <v>255000</v>
      </c>
    </row>
    <row r="205" spans="1:7" ht="15" customHeight="1" outlineLevel="4">
      <c r="A205" s="2" t="s">
        <v>68</v>
      </c>
      <c r="B205" s="2" t="s">
        <v>199</v>
      </c>
      <c r="C205" s="17">
        <v>-474000</v>
      </c>
      <c r="D205" s="17">
        <v>-903000</v>
      </c>
      <c r="G205" s="47">
        <f t="shared" si="6"/>
        <v>-429000</v>
      </c>
    </row>
    <row r="206" spans="1:7" ht="15" customHeight="1" outlineLevel="4">
      <c r="A206" s="2" t="s">
        <v>68</v>
      </c>
      <c r="B206" s="2" t="s">
        <v>200</v>
      </c>
      <c r="C206" s="17">
        <v>-955000</v>
      </c>
      <c r="D206" s="17">
        <v>-758000</v>
      </c>
      <c r="G206" s="47">
        <f t="shared" si="6"/>
        <v>197000</v>
      </c>
    </row>
    <row r="207" spans="1:7" ht="15" customHeight="1" outlineLevel="4">
      <c r="A207" s="2" t="s">
        <v>68</v>
      </c>
      <c r="B207" s="2" t="s">
        <v>201</v>
      </c>
      <c r="C207" s="17">
        <v>0</v>
      </c>
      <c r="D207" s="17">
        <v>-35000</v>
      </c>
      <c r="G207" s="47">
        <f t="shared" si="6"/>
        <v>-35000</v>
      </c>
    </row>
    <row r="208" spans="1:7" ht="24.75" customHeight="1" outlineLevel="4">
      <c r="A208" s="2" t="s">
        <v>68</v>
      </c>
      <c r="B208" s="2" t="s">
        <v>202</v>
      </c>
      <c r="C208" s="17">
        <v>0</v>
      </c>
      <c r="D208" s="17">
        <v>-83000</v>
      </c>
      <c r="G208" s="47">
        <f t="shared" si="6"/>
        <v>-83000</v>
      </c>
    </row>
    <row r="209" spans="1:9" ht="22.5" customHeight="1" outlineLevel="4">
      <c r="A209" s="2" t="s">
        <v>68</v>
      </c>
      <c r="B209" s="2" t="s">
        <v>203</v>
      </c>
      <c r="C209" s="17">
        <v>-989000</v>
      </c>
      <c r="D209" s="17">
        <f>-877000-160000</f>
        <v>-1037000</v>
      </c>
      <c r="E209" s="28" t="s">
        <v>256</v>
      </c>
      <c r="G209" s="47">
        <f t="shared" si="6"/>
        <v>-48000</v>
      </c>
      <c r="I209">
        <f>168*4200*8/12+162*4200*4/12</f>
        <v>697200</v>
      </c>
    </row>
    <row r="210" spans="1:9" ht="15" customHeight="1" outlineLevel="4">
      <c r="A210" s="2" t="s">
        <v>68</v>
      </c>
      <c r="B210" s="2" t="s">
        <v>204</v>
      </c>
      <c r="C210" s="17">
        <v>-423000</v>
      </c>
      <c r="D210" s="17">
        <v>-398000</v>
      </c>
      <c r="G210" s="47">
        <f t="shared" si="6"/>
        <v>25000</v>
      </c>
      <c r="I210">
        <f>170*4200</f>
        <v>714000</v>
      </c>
    </row>
    <row r="211" spans="1:9" ht="15" customHeight="1" outlineLevel="4">
      <c r="A211" s="2" t="s">
        <v>68</v>
      </c>
      <c r="B211" s="2" t="s">
        <v>205</v>
      </c>
      <c r="C211" s="17">
        <v>0</v>
      </c>
      <c r="D211" s="17">
        <v>-240000.39999999997</v>
      </c>
      <c r="G211" s="47">
        <f t="shared" si="6"/>
        <v>-240000.39999999997</v>
      </c>
      <c r="I211">
        <f>I210-I209</f>
        <v>16800</v>
      </c>
    </row>
    <row r="212" spans="1:7" ht="15" customHeight="1" outlineLevel="4">
      <c r="A212" s="2" t="s">
        <v>68</v>
      </c>
      <c r="B212" s="2" t="s">
        <v>206</v>
      </c>
      <c r="C212" s="17">
        <v>-52000.2</v>
      </c>
      <c r="D212" s="17">
        <v>-102999.59999999999</v>
      </c>
      <c r="G212" s="47">
        <f t="shared" si="6"/>
        <v>-50999.399999999994</v>
      </c>
    </row>
    <row r="213" spans="1:7" ht="15" customHeight="1" outlineLevel="4">
      <c r="A213" s="2" t="s">
        <v>68</v>
      </c>
      <c r="B213" s="2" t="s">
        <v>207</v>
      </c>
      <c r="C213" s="17">
        <v>-26000</v>
      </c>
      <c r="D213" s="17">
        <v>0</v>
      </c>
      <c r="G213" s="47">
        <f t="shared" si="6"/>
        <v>26000</v>
      </c>
    </row>
    <row r="214" spans="1:7" s="35" customFormat="1" ht="26.25" customHeight="1" outlineLevel="4">
      <c r="A214" s="30" t="s">
        <v>68</v>
      </c>
      <c r="B214" s="30" t="s">
        <v>208</v>
      </c>
      <c r="C214" s="32">
        <v>-400000</v>
      </c>
      <c r="D214" s="32">
        <v>-479000</v>
      </c>
      <c r="E214" s="34" t="s">
        <v>255</v>
      </c>
      <c r="G214" s="47">
        <f t="shared" si="6"/>
        <v>-79000</v>
      </c>
    </row>
    <row r="215" spans="1:7" ht="15" customHeight="1" outlineLevel="4">
      <c r="A215" s="2" t="s">
        <v>68</v>
      </c>
      <c r="B215" s="2" t="s">
        <v>209</v>
      </c>
      <c r="C215" s="17">
        <v>-18000</v>
      </c>
      <c r="D215" s="17">
        <v>-15000</v>
      </c>
      <c r="G215" s="47">
        <f t="shared" si="6"/>
        <v>3000</v>
      </c>
    </row>
    <row r="216" spans="1:7" ht="39.75" customHeight="1" outlineLevel="4">
      <c r="A216" s="2" t="s">
        <v>68</v>
      </c>
      <c r="B216" s="2" t="s">
        <v>210</v>
      </c>
      <c r="C216" s="17">
        <v>-372000</v>
      </c>
      <c r="D216" s="17">
        <v>-370000</v>
      </c>
      <c r="E216" s="37" t="s">
        <v>258</v>
      </c>
      <c r="G216" s="47">
        <f t="shared" si="6"/>
        <v>2000</v>
      </c>
    </row>
    <row r="217" spans="1:7" ht="15" customHeight="1" outlineLevel="4">
      <c r="A217" s="2" t="s">
        <v>68</v>
      </c>
      <c r="B217" s="2" t="s">
        <v>211</v>
      </c>
      <c r="C217" s="17">
        <v>-20000</v>
      </c>
      <c r="D217" s="17">
        <v>-20000</v>
      </c>
      <c r="G217" s="47">
        <f t="shared" si="6"/>
        <v>0</v>
      </c>
    </row>
    <row r="218" spans="1:7" ht="29.25" customHeight="1" outlineLevel="4">
      <c r="A218" s="2" t="s">
        <v>68</v>
      </c>
      <c r="B218" s="2" t="s">
        <v>212</v>
      </c>
      <c r="C218" s="17">
        <v>-275000</v>
      </c>
      <c r="D218" s="17">
        <v>-300000</v>
      </c>
      <c r="G218" s="47">
        <f t="shared" si="6"/>
        <v>-25000</v>
      </c>
    </row>
    <row r="219" spans="1:7" s="7" customFormat="1" ht="15" customHeight="1" outlineLevel="3">
      <c r="A219" s="9"/>
      <c r="B219" s="9"/>
      <c r="C219" s="19">
        <f>SUBTOTAL(9,C204:C218)</f>
        <v>-4312000.2</v>
      </c>
      <c r="D219" s="19">
        <f>SUBTOTAL(9,D204:D218)</f>
        <v>-4794000</v>
      </c>
      <c r="G219" s="19">
        <f>SUBTOTAL(9,G204:G218)</f>
        <v>-481999.79999999993</v>
      </c>
    </row>
    <row r="220" spans="1:7" s="7" customFormat="1" ht="15" customHeight="1" outlineLevel="2">
      <c r="A220" s="9"/>
      <c r="B220" s="9"/>
      <c r="C220" s="19">
        <f>SUBTOTAL(9,C201:C218)</f>
        <v>-4637000.2</v>
      </c>
      <c r="D220" s="19">
        <f>SUBTOTAL(9,D201:D218)</f>
        <v>-5145000</v>
      </c>
      <c r="G220" s="19">
        <f>SUBTOTAL(9,G201:G218)</f>
        <v>-507999.79999999993</v>
      </c>
    </row>
    <row r="221" spans="1:7" ht="15" customHeight="1" outlineLevel="4">
      <c r="A221" s="2" t="s">
        <v>68</v>
      </c>
      <c r="B221" s="2" t="s">
        <v>214</v>
      </c>
      <c r="C221" s="17">
        <v>-176000</v>
      </c>
      <c r="D221" s="17">
        <v>-195000</v>
      </c>
      <c r="G221" s="47">
        <f>D221-C221</f>
        <v>-19000</v>
      </c>
    </row>
    <row r="222" spans="1:7" ht="15" customHeight="1" outlineLevel="4">
      <c r="A222" s="2" t="s">
        <v>68</v>
      </c>
      <c r="B222" s="2" t="s">
        <v>215</v>
      </c>
      <c r="C222" s="17">
        <v>-178000</v>
      </c>
      <c r="D222" s="17">
        <v>-200000</v>
      </c>
      <c r="G222" s="47">
        <f>D222-C222</f>
        <v>-22000</v>
      </c>
    </row>
    <row r="223" spans="1:7" ht="15" customHeight="1" outlineLevel="4">
      <c r="A223" s="2" t="s">
        <v>68</v>
      </c>
      <c r="B223" s="2" t="s">
        <v>216</v>
      </c>
      <c r="C223" s="17">
        <v>-147000</v>
      </c>
      <c r="D223" s="17">
        <v>-145000</v>
      </c>
      <c r="G223" s="47">
        <f>D223-C223</f>
        <v>2000</v>
      </c>
    </row>
    <row r="224" spans="1:7" s="7" customFormat="1" ht="15" customHeight="1" outlineLevel="3">
      <c r="A224" s="9"/>
      <c r="B224" s="9"/>
      <c r="C224" s="19">
        <f>SUBTOTAL(9,C221:C223)</f>
        <v>-501000</v>
      </c>
      <c r="D224" s="19">
        <f>SUBTOTAL(9,D221:D223)</f>
        <v>-540000</v>
      </c>
      <c r="G224" s="19">
        <f>SUBTOTAL(9,G221:G223)</f>
        <v>-39000</v>
      </c>
    </row>
    <row r="225" spans="1:7" ht="15" customHeight="1" outlineLevel="4">
      <c r="A225" s="2" t="s">
        <v>68</v>
      </c>
      <c r="B225" s="2" t="s">
        <v>217</v>
      </c>
      <c r="C225" s="17">
        <v>-455000</v>
      </c>
      <c r="D225" s="17">
        <v>-352000</v>
      </c>
      <c r="G225" s="47">
        <f>D225-C225</f>
        <v>103000</v>
      </c>
    </row>
    <row r="226" spans="1:7" ht="15" customHeight="1" outlineLevel="4">
      <c r="A226" s="2" t="s">
        <v>68</v>
      </c>
      <c r="B226" s="2" t="s">
        <v>218</v>
      </c>
      <c r="C226" s="17">
        <v>-65000</v>
      </c>
      <c r="D226" s="17">
        <v>-65000</v>
      </c>
      <c r="G226" s="47">
        <f>D226-C226</f>
        <v>0</v>
      </c>
    </row>
    <row r="227" spans="1:7" ht="15" customHeight="1" outlineLevel="4">
      <c r="A227" s="2" t="s">
        <v>68</v>
      </c>
      <c r="B227" s="2" t="s">
        <v>219</v>
      </c>
      <c r="C227" s="17">
        <v>-42000</v>
      </c>
      <c r="D227" s="17">
        <v>-42000</v>
      </c>
      <c r="G227" s="47">
        <f>D227-C227</f>
        <v>0</v>
      </c>
    </row>
    <row r="228" spans="1:7" ht="15" customHeight="1" outlineLevel="4">
      <c r="A228" s="2" t="s">
        <v>68</v>
      </c>
      <c r="B228" s="2" t="s">
        <v>220</v>
      </c>
      <c r="C228" s="17">
        <v>-30000</v>
      </c>
      <c r="D228" s="17">
        <v>-30000</v>
      </c>
      <c r="G228" s="47">
        <f>D228-C228</f>
        <v>0</v>
      </c>
    </row>
    <row r="229" spans="1:7" ht="15" customHeight="1" outlineLevel="4">
      <c r="A229" s="2" t="s">
        <v>68</v>
      </c>
      <c r="B229" s="2" t="s">
        <v>221</v>
      </c>
      <c r="C229" s="17">
        <v>-292000</v>
      </c>
      <c r="D229" s="17">
        <v>-292000</v>
      </c>
      <c r="G229" s="47">
        <f>D229-C229</f>
        <v>0</v>
      </c>
    </row>
    <row r="230" spans="1:7" s="7" customFormat="1" ht="15" customHeight="1" outlineLevel="3">
      <c r="A230" s="9"/>
      <c r="B230" s="9"/>
      <c r="C230" s="19">
        <f>SUBTOTAL(9,C225:C229)</f>
        <v>-884000</v>
      </c>
      <c r="D230" s="19">
        <f>SUBTOTAL(9,D225:D229)</f>
        <v>-781000</v>
      </c>
      <c r="G230" s="19">
        <f>SUBTOTAL(9,G225:G229)</f>
        <v>103000</v>
      </c>
    </row>
    <row r="231" spans="1:7" s="7" customFormat="1" ht="15" customHeight="1" outlineLevel="2">
      <c r="A231" s="9"/>
      <c r="B231" s="9"/>
      <c r="C231" s="19">
        <f>SUBTOTAL(9,C221:C229)</f>
        <v>-1385000</v>
      </c>
      <c r="D231" s="19">
        <f>SUBTOTAL(9,D221:D229)</f>
        <v>-1321000</v>
      </c>
      <c r="G231" s="19">
        <f>SUBTOTAL(9,G221:G229)</f>
        <v>64000</v>
      </c>
    </row>
    <row r="232" spans="1:7" ht="15" customHeight="1" outlineLevel="4">
      <c r="A232" s="2" t="s">
        <v>68</v>
      </c>
      <c r="B232" s="2" t="s">
        <v>223</v>
      </c>
      <c r="C232" s="17">
        <v>-35000</v>
      </c>
      <c r="D232" s="17">
        <v>-35000</v>
      </c>
      <c r="G232" s="47">
        <f>D232-C232</f>
        <v>0</v>
      </c>
    </row>
    <row r="233" spans="1:7" ht="15" customHeight="1" outlineLevel="4">
      <c r="A233" s="2" t="s">
        <v>68</v>
      </c>
      <c r="B233" s="2" t="s">
        <v>224</v>
      </c>
      <c r="C233" s="17">
        <v>-150000</v>
      </c>
      <c r="D233" s="17">
        <v>-150000</v>
      </c>
      <c r="G233" s="47">
        <f>D233-C233</f>
        <v>0</v>
      </c>
    </row>
    <row r="234" spans="1:7" s="7" customFormat="1" ht="15" customHeight="1" outlineLevel="3">
      <c r="A234" s="9"/>
      <c r="B234" s="9"/>
      <c r="C234" s="19">
        <f>SUBTOTAL(9,C232:C233)</f>
        <v>-185000</v>
      </c>
      <c r="D234" s="19">
        <f>SUBTOTAL(9,D232:D233)</f>
        <v>-185000</v>
      </c>
      <c r="G234" s="19">
        <f>SUBTOTAL(9,G232:G233)</f>
        <v>0</v>
      </c>
    </row>
    <row r="235" spans="1:7" s="7" customFormat="1" ht="15" customHeight="1" outlineLevel="2">
      <c r="A235" s="9"/>
      <c r="B235" s="9"/>
      <c r="C235" s="19">
        <f>SUBTOTAL(9,C232:C233)</f>
        <v>-185000</v>
      </c>
      <c r="D235" s="19">
        <f>SUBTOTAL(9,D232:D233)</f>
        <v>-185000</v>
      </c>
      <c r="G235" s="19">
        <f>SUBTOTAL(9,G232:G233)</f>
        <v>0</v>
      </c>
    </row>
    <row r="236" spans="1:7" ht="15" customHeight="1" outlineLevel="4">
      <c r="A236" s="2" t="s">
        <v>68</v>
      </c>
      <c r="B236" s="2" t="s">
        <v>226</v>
      </c>
      <c r="C236" s="17">
        <v>0</v>
      </c>
      <c r="D236" s="17">
        <v>0</v>
      </c>
      <c r="G236" s="47">
        <f>D236-C236</f>
        <v>0</v>
      </c>
    </row>
    <row r="237" spans="1:7" s="7" customFormat="1" ht="15" customHeight="1" outlineLevel="3">
      <c r="A237" s="9"/>
      <c r="B237" s="9"/>
      <c r="C237" s="19">
        <f>SUBTOTAL(9,C236:C236)</f>
        <v>0</v>
      </c>
      <c r="D237" s="19">
        <f>SUBTOTAL(9,D236:D236)</f>
        <v>0</v>
      </c>
      <c r="G237" s="19">
        <f>SUBTOTAL(9,G236:G236)</f>
        <v>0</v>
      </c>
    </row>
    <row r="238" spans="1:7" s="7" customFormat="1" ht="15" customHeight="1" outlineLevel="2">
      <c r="A238" s="9"/>
      <c r="B238" s="9"/>
      <c r="C238" s="19">
        <f>SUBTOTAL(9,C236:C236)</f>
        <v>0</v>
      </c>
      <c r="D238" s="19">
        <f>SUBTOTAL(9,D236:D236)</f>
        <v>0</v>
      </c>
      <c r="G238" s="19">
        <f>SUBTOTAL(9,G236:G236)</f>
        <v>0</v>
      </c>
    </row>
    <row r="239" spans="1:7" ht="15" customHeight="1" outlineLevel="4">
      <c r="A239" s="2" t="s">
        <v>68</v>
      </c>
      <c r="B239" s="2" t="s">
        <v>228</v>
      </c>
      <c r="C239" s="17">
        <v>-410000</v>
      </c>
      <c r="D239" s="17">
        <f>-D4-D240</f>
        <v>-540000</v>
      </c>
      <c r="G239" s="47">
        <f>D239-C239</f>
        <v>-130000</v>
      </c>
    </row>
    <row r="240" spans="1:7" ht="15" customHeight="1" outlineLevel="4">
      <c r="A240" s="2" t="s">
        <v>68</v>
      </c>
      <c r="B240" s="2" t="s">
        <v>229</v>
      </c>
      <c r="C240" s="17">
        <v>-115000</v>
      </c>
      <c r="D240" s="17">
        <v>-140000</v>
      </c>
      <c r="G240" s="47">
        <f>D240-C240</f>
        <v>-25000</v>
      </c>
    </row>
    <row r="241" spans="1:7" s="7" customFormat="1" ht="15" customHeight="1" outlineLevel="3">
      <c r="A241" s="9"/>
      <c r="B241" s="9"/>
      <c r="C241" s="19">
        <f>SUBTOTAL(9,C239:C240)</f>
        <v>-525000</v>
      </c>
      <c r="D241" s="19">
        <f>SUBTOTAL(9,D239:D240)</f>
        <v>-680000</v>
      </c>
      <c r="G241" s="19">
        <f>SUBTOTAL(9,G239:G240)</f>
        <v>-155000</v>
      </c>
    </row>
    <row r="242" spans="1:7" s="7" customFormat="1" ht="15" customHeight="1" outlineLevel="2">
      <c r="A242" s="9"/>
      <c r="B242" s="9"/>
      <c r="C242" s="19">
        <f>SUBTOTAL(9,C239:C240)</f>
        <v>-525000</v>
      </c>
      <c r="D242" s="19">
        <f>SUBTOTAL(9,D239:D240)</f>
        <v>-680000</v>
      </c>
      <c r="G242" s="19">
        <f>SUBTOTAL(9,G239:G240)</f>
        <v>-155000</v>
      </c>
    </row>
    <row r="243" spans="1:7" ht="15" customHeight="1" outlineLevel="4">
      <c r="A243" s="2" t="s">
        <v>68</v>
      </c>
      <c r="B243" s="2" t="s">
        <v>231</v>
      </c>
      <c r="C243" s="17">
        <v>0</v>
      </c>
      <c r="D243" s="17">
        <v>-103000</v>
      </c>
      <c r="G243" s="47">
        <f>D243-C243</f>
        <v>-103000</v>
      </c>
    </row>
    <row r="244" spans="1:7" ht="15" customHeight="1" outlineLevel="4">
      <c r="A244" s="2" t="s">
        <v>68</v>
      </c>
      <c r="B244" s="2" t="s">
        <v>232</v>
      </c>
      <c r="C244" s="17">
        <f>-1210000-70000</f>
        <v>-1280000</v>
      </c>
      <c r="D244" s="17">
        <f>-217000+160000</f>
        <v>-57000</v>
      </c>
      <c r="G244" s="47">
        <f>D244-C244</f>
        <v>1223000</v>
      </c>
    </row>
    <row r="245" spans="1:7" s="7" customFormat="1" ht="15" customHeight="1" outlineLevel="2">
      <c r="A245" s="14"/>
      <c r="B245" s="14"/>
      <c r="C245" s="24">
        <f>SUBTOTAL(9,C243:C244)</f>
        <v>-1280000</v>
      </c>
      <c r="D245" s="24">
        <f>SUBTOTAL(9,D243:D244)</f>
        <v>-160000</v>
      </c>
      <c r="G245" s="24">
        <f>SUBTOTAL(9,G243:G244)</f>
        <v>1120000</v>
      </c>
    </row>
    <row r="246" spans="1:7" s="7" customFormat="1" ht="15" customHeight="1" outlineLevel="1">
      <c r="A246" s="16" t="s">
        <v>234</v>
      </c>
      <c r="B246" s="14"/>
      <c r="C246" s="24">
        <f>SUBTOTAL(9,C60:C244)</f>
        <v>-37200000.2</v>
      </c>
      <c r="D246" s="24">
        <f>SUBTOTAL(9,D60:D244)</f>
        <v>-38824000</v>
      </c>
      <c r="G246" s="24">
        <f>SUBTOTAL(9,G60:G244)</f>
        <v>-1593999.7999999998</v>
      </c>
    </row>
    <row r="247" spans="1:7" s="7" customFormat="1" ht="15" customHeight="1">
      <c r="A247" s="16" t="s">
        <v>235</v>
      </c>
      <c r="B247" s="15"/>
      <c r="C247" s="24">
        <f>SUBTOTAL(9,C2:C244)</f>
        <v>-0.20000000018626451</v>
      </c>
      <c r="D247" s="24">
        <f>SUBTOTAL(9,D2:D244)</f>
        <v>0</v>
      </c>
      <c r="G247" s="24">
        <f>SUBTOTAL(9,G2:G244)</f>
        <v>60000.200000000186</v>
      </c>
    </row>
    <row r="248" ht="12.75" hidden="1"/>
    <row r="249" spans="1:7" ht="12.75" hidden="1">
      <c r="A249" t="s">
        <v>14</v>
      </c>
      <c r="C249" s="53">
        <f>SUBTOTAL(9,C2:C59)</f>
        <v>37200000</v>
      </c>
      <c r="D249" s="53">
        <f>SUBTOTAL(9,D2:D59)</f>
        <v>38824000</v>
      </c>
      <c r="E249" s="47">
        <f>SUBTOTAL(9,E2:E59)</f>
        <v>0</v>
      </c>
      <c r="F249" s="47">
        <f>SUBTOTAL(9,F2:F59)</f>
        <v>0</v>
      </c>
      <c r="G249" s="47">
        <f>SUBTOTAL(9,G2:G59)</f>
        <v>1654000</v>
      </c>
    </row>
    <row r="250" spans="1:7" ht="12.75" hidden="1">
      <c r="A250" t="s">
        <v>68</v>
      </c>
      <c r="C250" s="54">
        <f>SUBTOTAL(9,C60:C247)</f>
        <v>-37200000.2</v>
      </c>
      <c r="D250" s="54">
        <f>SUBTOTAL(9,D60:D247)</f>
        <v>-38824000</v>
      </c>
      <c r="E250">
        <f>SUBTOTAL(9,E60:E247)</f>
        <v>0</v>
      </c>
      <c r="F250">
        <f>SUBTOTAL(9,F60:F247)</f>
        <v>0</v>
      </c>
      <c r="G250">
        <f>SUBTOTAL(9,G60:G247)</f>
        <v>-1593999.7999999998</v>
      </c>
    </row>
    <row r="251" spans="3:7" ht="13.5" hidden="1" thickBot="1">
      <c r="C251" s="55">
        <f>SUM(C249:C250)</f>
        <v>-0.20000000298023224</v>
      </c>
      <c r="D251" s="55">
        <f>SUM(D249:D250)</f>
        <v>0</v>
      </c>
      <c r="E251" s="49">
        <f>SUM(E249:E250)</f>
        <v>0</v>
      </c>
      <c r="F251" s="49">
        <f>SUM(F249:F250)</f>
        <v>0</v>
      </c>
      <c r="G251" s="49">
        <f>SUM(G249:G250)</f>
        <v>60000.200000000186</v>
      </c>
    </row>
    <row r="252" ht="12.75" hidden="1"/>
  </sheetData>
  <sheetProtection/>
  <autoFilter ref="A1:F246"/>
  <printOptions horizontalCentered="1" verticalCentered="1"/>
  <pageMargins left="0" right="0" top="0.984251968503937" bottom="0" header="0" footer="0"/>
  <pageSetup fitToHeight="6" horizontalDpi="600" verticalDpi="600" orientation="portrait" paperSize="8" scale="110" r:id="rId3"/>
  <headerFooter>
    <oddHeader>&amp;C&amp;"Arial,מודגש"&amp;30  תקציב 2018</oddHead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Gizbar</dc:creator>
  <cp:keywords/>
  <dc:description/>
  <cp:lastModifiedBy>Gizbar</cp:lastModifiedBy>
  <cp:lastPrinted>2017-12-07T08:18:08Z</cp:lastPrinted>
  <dcterms:created xsi:type="dcterms:W3CDTF">2017-08-15T09:55:33Z</dcterms:created>
  <dcterms:modified xsi:type="dcterms:W3CDTF">2019-04-01T13:44:07Z</dcterms:modified>
  <cp:category/>
  <cp:version/>
  <cp:contentType/>
  <cp:contentStatus/>
</cp:coreProperties>
</file>